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809"/>
  <workbookPr/>
  <mc:AlternateContent xmlns:mc="http://schemas.openxmlformats.org/markup-compatibility/2006">
    <mc:Choice Requires="x15">
      <x15ac:absPath xmlns:x15ac="http://schemas.microsoft.com/office/spreadsheetml/2010/11/ac" url="/Users/engenharia/Desktop/PROJETOS/Projetos 2017/Indianópolis/SEDU/08 certo/PDF/"/>
    </mc:Choice>
  </mc:AlternateContent>
  <bookViews>
    <workbookView xWindow="2940" yWindow="1620" windowWidth="27640" windowHeight="16440" tabRatio="779" firstSheet="1" activeTab="1"/>
  </bookViews>
  <sheets>
    <sheet name="custo" sheetId="6" r:id="rId1"/>
    <sheet name="resumo geral" sheetId="97" r:id="rId2"/>
  </sheets>
  <calcPr calcId="150001" calcMode="manual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5" i="97" l="1"/>
  <c r="N24" i="97"/>
  <c r="M45" i="97"/>
  <c r="M43" i="97"/>
  <c r="M21" i="97"/>
  <c r="M19" i="97"/>
  <c r="M16" i="97"/>
  <c r="M63" i="97"/>
  <c r="M62" i="97"/>
  <c r="N62" i="97"/>
  <c r="F25" i="97"/>
  <c r="F22" i="97"/>
  <c r="F23" i="97"/>
  <c r="F21" i="97"/>
  <c r="F16" i="97"/>
  <c r="M46" i="97"/>
  <c r="M44" i="97"/>
  <c r="N42" i="97"/>
  <c r="F28" i="97"/>
  <c r="F29" i="97"/>
  <c r="F27" i="97"/>
  <c r="M27" i="97"/>
  <c r="M30" i="97"/>
  <c r="N26" i="97"/>
  <c r="M15" i="97"/>
  <c r="N61" i="97"/>
  <c r="M34" i="97"/>
  <c r="M38" i="97"/>
  <c r="N33" i="97"/>
  <c r="N20" i="97"/>
  <c r="N18" i="97"/>
  <c r="M17" i="97"/>
  <c r="N14" i="97"/>
  <c r="N60" i="97"/>
  <c r="M51" i="97"/>
  <c r="M52" i="97"/>
  <c r="M53" i="97"/>
  <c r="M54" i="97"/>
  <c r="M55" i="97"/>
  <c r="M56" i="97"/>
  <c r="M57" i="97"/>
  <c r="F58" i="97"/>
  <c r="M58" i="97"/>
  <c r="N50" i="97"/>
  <c r="N63" i="97"/>
  <c r="M48" i="97"/>
  <c r="M49" i="97"/>
  <c r="N47" i="97"/>
  <c r="N64" i="97"/>
  <c r="N65" i="97"/>
  <c r="M60" i="97"/>
  <c r="M61" i="97"/>
  <c r="M64" i="97"/>
  <c r="M65" i="97"/>
  <c r="F39" i="97"/>
  <c r="F40" i="97"/>
  <c r="F41" i="97"/>
  <c r="F38" i="97"/>
  <c r="F35" i="97"/>
  <c r="F36" i="97"/>
  <c r="F37" i="97"/>
  <c r="F34" i="97"/>
  <c r="F31" i="97"/>
  <c r="F32" i="97"/>
  <c r="F30" i="97"/>
  <c r="H60" i="97"/>
  <c r="H61" i="97"/>
  <c r="H62" i="97"/>
  <c r="E42" i="6"/>
  <c r="H65" i="97"/>
  <c r="H14" i="97"/>
  <c r="E16" i="6"/>
  <c r="E25" i="6"/>
  <c r="E31" i="6"/>
  <c r="E32" i="6"/>
  <c r="E33" i="6"/>
  <c r="E15" i="6"/>
  <c r="E14" i="6"/>
  <c r="E13" i="6"/>
  <c r="E34" i="6"/>
  <c r="E39" i="6"/>
  <c r="C6" i="6"/>
  <c r="C9" i="6"/>
  <c r="E9" i="6"/>
  <c r="C26" i="6"/>
  <c r="E26" i="6"/>
  <c r="E27" i="6"/>
  <c r="C10" i="6"/>
  <c r="E10" i="6"/>
  <c r="E6" i="6"/>
  <c r="C20" i="6"/>
  <c r="E20" i="6"/>
  <c r="E21" i="6"/>
  <c r="C12" i="6"/>
  <c r="E12" i="6"/>
  <c r="C7" i="6"/>
  <c r="E7" i="6"/>
  <c r="C11" i="6"/>
  <c r="E11" i="6"/>
  <c r="C8" i="6"/>
  <c r="E8" i="6"/>
  <c r="E41" i="6"/>
  <c r="E40" i="6"/>
  <c r="D40" i="6"/>
  <c r="E17" i="6"/>
  <c r="D37" i="6"/>
  <c r="E43" i="6"/>
  <c r="D36" i="6"/>
</calcChain>
</file>

<file path=xl/comments1.xml><?xml version="1.0" encoding="utf-8"?>
<comments xmlns="http://schemas.openxmlformats.org/spreadsheetml/2006/main">
  <authors>
    <author>PARANACIDADE</author>
    <author>Ruy  José da Costa</author>
    <author>ruy</author>
  </authors>
  <commentList>
    <comment ref="G15" authorId="0">
      <text>
        <r>
          <rPr>
            <b/>
            <sz val="12"/>
            <color indexed="81"/>
            <rFont val="Tahoma"/>
            <family val="2"/>
          </rPr>
          <t>1ª CAT 1000m</t>
        </r>
      </text>
    </comment>
    <comment ref="G25" authorId="1">
      <text>
        <r>
          <rPr>
            <b/>
            <sz val="12"/>
            <color indexed="81"/>
            <rFont val="Segoe UI"/>
            <family val="2"/>
          </rPr>
          <t>BDI betume = 20%
Correção = Valor+20% = Vx1,2
Valor na célula: (Vx1,2) / 1,3</t>
        </r>
        <r>
          <rPr>
            <sz val="8"/>
            <color indexed="81"/>
            <rFont val="Segoe UI"/>
            <family val="2"/>
          </rPr>
          <t xml:space="preserve">
</t>
        </r>
      </text>
    </comment>
    <comment ref="G46" authorId="2">
      <text>
        <r>
          <rPr>
            <b/>
            <sz val="14"/>
            <color indexed="81"/>
            <rFont val="Tahoma"/>
            <family val="2"/>
          </rPr>
          <t>Piso Tátil =  1,17 m2
Área  da Rampa =  5,94 m2
Concreto 11 mpa = 0,30 m3
Brita =                    0,30 m3
Escavação =          0,45 m3
Forma =                  1,00 m2</t>
        </r>
      </text>
    </comment>
  </commentList>
</comments>
</file>

<file path=xl/sharedStrings.xml><?xml version="1.0" encoding="utf-8"?>
<sst xmlns="http://schemas.openxmlformats.org/spreadsheetml/2006/main" count="191" uniqueCount="133">
  <si>
    <t>ORÇAMENTO DE OBRA  CIDADE GAÚCHA</t>
  </si>
  <si>
    <t>MATERIAL</t>
  </si>
  <si>
    <t>UNIDADE</t>
  </si>
  <si>
    <t>QUANTIDADE</t>
  </si>
  <si>
    <t>VL.UNITÁRIO</t>
  </si>
  <si>
    <t>VL. TOTAL</t>
  </si>
  <si>
    <t>RR-2C</t>
  </si>
  <si>
    <t>kg</t>
  </si>
  <si>
    <t>PEDRA1</t>
  </si>
  <si>
    <t>m³</t>
  </si>
  <si>
    <t>PEDRISCO</t>
  </si>
  <si>
    <t>GRANILHA</t>
  </si>
  <si>
    <t>PÓ DE PEDRA</t>
  </si>
  <si>
    <t>CIMENTO P/ SOLO</t>
  </si>
  <si>
    <t>SC</t>
  </si>
  <si>
    <t>MEIO FIO</t>
  </si>
  <si>
    <t>ML</t>
  </si>
  <si>
    <t>CALÇADA</t>
  </si>
  <si>
    <t>M</t>
  </si>
  <si>
    <t>GRAMA</t>
  </si>
  <si>
    <t>M2</t>
  </si>
  <si>
    <t>ARVORE</t>
  </si>
  <si>
    <t>UND</t>
  </si>
  <si>
    <t>EQUIPAMENTO</t>
  </si>
  <si>
    <t>ALUGUEL</t>
  </si>
  <si>
    <t>MAO DE OBRA</t>
  </si>
  <si>
    <t>FOLHA</t>
  </si>
  <si>
    <t>VB</t>
  </si>
  <si>
    <t>CAPA</t>
  </si>
  <si>
    <t>DESPESAS</t>
  </si>
  <si>
    <t>MÊS</t>
  </si>
  <si>
    <t>REFEIÇÃO</t>
  </si>
  <si>
    <t>MOBILIZAÇÃO /MANUTENÇÃO</t>
  </si>
  <si>
    <t>TOTAL</t>
  </si>
  <si>
    <t>DESPESA</t>
  </si>
  <si>
    <t>NF</t>
  </si>
  <si>
    <t>CUSTO OBRA</t>
  </si>
  <si>
    <t>LUCRO</t>
  </si>
  <si>
    <t>VL OBRA</t>
  </si>
  <si>
    <t>CUSTO M2</t>
  </si>
  <si>
    <t>vl m2</t>
  </si>
  <si>
    <t>\</t>
  </si>
  <si>
    <r>
      <t>ORÇAMENTO DE</t>
    </r>
    <r>
      <rPr>
        <b/>
        <sz val="10"/>
        <rFont val="Arial"/>
        <family val="2"/>
      </rPr>
      <t xml:space="preserve"> </t>
    </r>
    <r>
      <rPr>
        <b/>
        <i/>
        <u/>
        <sz val="18"/>
        <rFont val="Arial"/>
        <family val="2"/>
      </rPr>
      <t>PAVIMENTAÇÃO</t>
    </r>
    <r>
      <rPr>
        <b/>
        <sz val="10"/>
        <rFont val="Arial"/>
        <family val="2"/>
      </rPr>
      <t xml:space="preserve"> </t>
    </r>
  </si>
  <si>
    <t xml:space="preserve">MUNICÍPIO </t>
  </si>
  <si>
    <t>:</t>
  </si>
  <si>
    <t>INDIANÓPOLIS</t>
  </si>
  <si>
    <t>CLIENTE</t>
  </si>
  <si>
    <t>PREFEITURA MUNICIPAL DE INDIANÓPOLIS</t>
  </si>
  <si>
    <t>SUBPROJETO</t>
  </si>
  <si>
    <t>PAVIMENTAÇÃO</t>
  </si>
  <si>
    <t>2017</t>
  </si>
  <si>
    <t>PROTOCOLO</t>
  </si>
  <si>
    <t>-</t>
  </si>
  <si>
    <t xml:space="preserve">ARQ Nº </t>
  </si>
  <si>
    <t>LOCAL</t>
  </si>
  <si>
    <t>1/12</t>
  </si>
  <si>
    <t>BDI (%)</t>
  </si>
  <si>
    <t>ENSAIOS (%)</t>
  </si>
  <si>
    <t>DMT</t>
  </si>
  <si>
    <t>CONSUMO</t>
  </si>
  <si>
    <t>CUSTOS UNITÁRIOS - ( R$ )</t>
  </si>
  <si>
    <t>PROJETO ORIGINAL</t>
  </si>
  <si>
    <t>SERVIÇOS</t>
  </si>
  <si>
    <t>ensaios</t>
  </si>
  <si>
    <t>KM</t>
  </si>
  <si>
    <t>( TON )</t>
  </si>
  <si>
    <t>TRANSP</t>
  </si>
  <si>
    <t>EXEC.</t>
  </si>
  <si>
    <t>S/BDI</t>
  </si>
  <si>
    <t>C/BDI</t>
  </si>
  <si>
    <t>UNID</t>
  </si>
  <si>
    <t>QUANT</t>
  </si>
  <si>
    <t>UNIT</t>
  </si>
  <si>
    <t>( R$ ) - PARCIAL</t>
  </si>
  <si>
    <t>( R$ ) - TOTAL</t>
  </si>
  <si>
    <t>TERRAPLENAGEM</t>
  </si>
  <si>
    <t>m2</t>
  </si>
  <si>
    <t>un</t>
  </si>
  <si>
    <t>m3</t>
  </si>
  <si>
    <t xml:space="preserve">     Remoção da Camada Superficial</t>
  </si>
  <si>
    <t xml:space="preserve">     Escavação, Carga e Transp. de jazida 1ª Cat.</t>
  </si>
  <si>
    <t xml:space="preserve">     Compactação de Aterros 100% P.N.</t>
  </si>
  <si>
    <t>50000A</t>
  </si>
  <si>
    <t>SUBLEITO</t>
  </si>
  <si>
    <t xml:space="preserve">     Regularização e Compactação do Subleito - 100% PN</t>
  </si>
  <si>
    <t>50000B</t>
  </si>
  <si>
    <t>BASE</t>
  </si>
  <si>
    <t xml:space="preserve">               Cimento</t>
  </si>
  <si>
    <t xml:space="preserve">               Solo (Solo Cimento )</t>
  </si>
  <si>
    <r>
      <t xml:space="preserve">     Solo Cimento(Pista) - </t>
    </r>
    <r>
      <rPr>
        <b/>
        <sz val="16"/>
        <rFont val="Arial"/>
        <family val="2"/>
      </rPr>
      <t>4%</t>
    </r>
  </si>
  <si>
    <t>53000A</t>
  </si>
  <si>
    <t>PINTURA</t>
  </si>
  <si>
    <r>
      <t xml:space="preserve">     Imprimação com Emulsão RR 1C ( </t>
    </r>
    <r>
      <rPr>
        <b/>
        <sz val="16"/>
        <rFont val="Arial"/>
        <family val="2"/>
      </rPr>
      <t>Araucária</t>
    </r>
    <r>
      <rPr>
        <sz val="16"/>
        <rFont val="Arial"/>
        <family val="2"/>
      </rPr>
      <t xml:space="preserve"> )</t>
    </r>
  </si>
  <si>
    <t>53000C</t>
  </si>
  <si>
    <t>REVESTIMENTO</t>
  </si>
  <si>
    <t>m</t>
  </si>
  <si>
    <t xml:space="preserve">               Areia</t>
  </si>
  <si>
    <r>
      <t xml:space="preserve">               Emulsão RR-2C ( </t>
    </r>
    <r>
      <rPr>
        <b/>
        <sz val="16"/>
        <rFont val="Arial"/>
        <family val="2"/>
      </rPr>
      <t>Araucária</t>
    </r>
    <r>
      <rPr>
        <sz val="16"/>
        <rFont val="Arial"/>
        <family val="2"/>
      </rPr>
      <t xml:space="preserve"> )</t>
    </r>
  </si>
  <si>
    <t xml:space="preserve">               Brita</t>
  </si>
  <si>
    <r>
      <t xml:space="preserve">               Emulsão RR-2C ( </t>
    </r>
    <r>
      <rPr>
        <b/>
        <sz val="16"/>
        <rFont val="Arial"/>
        <family val="2"/>
      </rPr>
      <t>Aruacária</t>
    </r>
    <r>
      <rPr>
        <sz val="16"/>
        <rFont val="Arial"/>
        <family val="2"/>
      </rPr>
      <t xml:space="preserve"> )</t>
    </r>
  </si>
  <si>
    <t xml:space="preserve">     Trat.Sup.Tríplo ( TST ) Tipo I-5</t>
  </si>
  <si>
    <t xml:space="preserve">     Capa Selante</t>
  </si>
  <si>
    <t xml:space="preserve"> </t>
  </si>
  <si>
    <t>MEIO-FIO E SARJETA</t>
  </si>
  <si>
    <t xml:space="preserve">               Cimento </t>
  </si>
  <si>
    <r>
      <t xml:space="preserve">     Meio-Fio com Sarjeta DER - Tipo 2 -</t>
    </r>
    <r>
      <rPr>
        <b/>
        <sz val="16"/>
        <rFont val="Arial"/>
        <family val="2"/>
      </rPr>
      <t xml:space="preserve"> (0,042 m3)</t>
    </r>
  </si>
  <si>
    <r>
      <t xml:space="preserve">     Meio-Fio c/Sarjeta (rebaixado) DER-Tipo 7-</t>
    </r>
    <r>
      <rPr>
        <b/>
        <sz val="16"/>
        <rFont val="Arial"/>
        <family val="2"/>
      </rPr>
      <t>(0,031 m3)</t>
    </r>
  </si>
  <si>
    <t>URBANISMO DO PASSEIO</t>
  </si>
  <si>
    <t>73892/2</t>
  </si>
  <si>
    <t xml:space="preserve">     Calçada Concreto ( e = 5,00 cm )</t>
  </si>
  <si>
    <t>90000A</t>
  </si>
  <si>
    <t xml:space="preserve">     Plantio de Árvores</t>
  </si>
  <si>
    <t xml:space="preserve">     Plantio de Grama</t>
  </si>
  <si>
    <t>SERVIÇOS PRELIMINARES</t>
  </si>
  <si>
    <t>90000B</t>
  </si>
  <si>
    <t>90000C</t>
  </si>
  <si>
    <t xml:space="preserve">     Placa de Obra 3,00 x 1,50</t>
  </si>
  <si>
    <t>LAUDO TECNOLOGICO</t>
  </si>
  <si>
    <t>Ensaio de Massa Específica - In Situ - Método Frasco de Areia (Grau de Compactação) - Sub-base e Base</t>
  </si>
  <si>
    <t>Ensaio de Granulometria do Agregado</t>
  </si>
  <si>
    <t>Ensaio de Controle de Taxa de Aplicação de Ligante Betuminoso</t>
  </si>
  <si>
    <t>Ensaio de Determinação da Taxa de Espalhamento do Agregado</t>
  </si>
  <si>
    <t>TOTAL DO PAVIMENTO</t>
  </si>
  <si>
    <t>TOTAL DE URBANISMO</t>
  </si>
  <si>
    <t>TOTAL DE DRENAGEM</t>
  </si>
  <si>
    <t>TOTAL DE LAUDO TÉCNOLOGICO</t>
  </si>
  <si>
    <t>TOTAL GERAL</t>
  </si>
  <si>
    <t xml:space="preserve">     Placa de Acompanhamento de Obra 1,50X0,75</t>
  </si>
  <si>
    <t>Ensaio de Massa Específica - In Situ - Método Frasco de Areia (Grau de Compactação) - Terraplenagem</t>
  </si>
  <si>
    <t>Ensaio de Massa Específica - In Situ - Método Frasco de Areia (Grau de Compactação) - Reforço subleito</t>
  </si>
  <si>
    <t>Ensaio de Massa Específica - In Situ - Método Frasco de Areia (Grau de Compactação) - Regularização e Compactação do Subleito</t>
  </si>
  <si>
    <t>Mobilização e desmobilização de equipamento e equipe para extração de corpos de prova da capa asfáltica.</t>
  </si>
  <si>
    <r>
      <t xml:space="preserve">     Rampa para PNE com Piso Tátil (NBR 9050)</t>
    </r>
    <r>
      <rPr>
        <b/>
        <sz val="16"/>
        <rFont val="Arial"/>
        <family val="2"/>
      </rPr>
      <t xml:space="preserve"> - Modelo pref.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</si>
</sst>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0.0000"/>
    <numFmt numFmtId="165" formatCode="\(000\)"/>
    <numFmt numFmtId="166" formatCode="&quot;R$&quot;\ #,##0.00"/>
  </numFmts>
  <fonts count="19" x14ac:knownFonts="1">
    <font>
      <sz val="8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i/>
      <u/>
      <sz val="18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2"/>
      <color indexed="81"/>
      <name val="Tahoma"/>
      <family val="2"/>
    </font>
    <font>
      <b/>
      <sz val="8"/>
      <color indexed="10"/>
      <name val="Arial"/>
      <family val="2"/>
    </font>
    <font>
      <b/>
      <sz val="10"/>
      <color indexed="18"/>
      <name val="Arial"/>
      <family val="2"/>
    </font>
    <font>
      <b/>
      <sz val="8"/>
      <color indexed="12"/>
      <name val="Arial"/>
      <family val="2"/>
    </font>
    <font>
      <b/>
      <sz val="14"/>
      <color indexed="81"/>
      <name val="Tahoma"/>
      <family val="2"/>
    </font>
    <font>
      <b/>
      <sz val="12"/>
      <color indexed="81"/>
      <name val="Segoe UI"/>
      <family val="2"/>
    </font>
    <font>
      <sz val="8"/>
      <color indexed="81"/>
      <name val="Segoe UI"/>
      <family val="2"/>
    </font>
    <font>
      <sz val="16"/>
      <name val="Arial  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3">
    <xf numFmtId="0" fontId="0" fillId="0" borderId="0" xfId="0"/>
    <xf numFmtId="0" fontId="7" fillId="2" borderId="1" xfId="1" applyFont="1" applyFill="1" applyBorder="1" applyAlignment="1">
      <alignment horizontal="right"/>
    </xf>
    <xf numFmtId="0" fontId="7" fillId="2" borderId="0" xfId="1" applyFont="1" applyFill="1" applyBorder="1"/>
    <xf numFmtId="0" fontId="8" fillId="2" borderId="0" xfId="1" applyFont="1" applyFill="1" applyBorder="1"/>
    <xf numFmtId="0" fontId="7" fillId="2" borderId="0" xfId="1" applyFont="1" applyFill="1" applyBorder="1" applyAlignment="1">
      <alignment horizontal="left"/>
    </xf>
    <xf numFmtId="10" fontId="7" fillId="2" borderId="0" xfId="1" applyNumberFormat="1" applyFont="1" applyFill="1" applyBorder="1" applyAlignment="1">
      <alignment horizontal="left"/>
    </xf>
    <xf numFmtId="0" fontId="7" fillId="2" borderId="2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centerContinuous" vertical="center"/>
    </xf>
    <xf numFmtId="0" fontId="7" fillId="2" borderId="2" xfId="1" applyFont="1" applyFill="1" applyBorder="1" applyAlignment="1">
      <alignment horizontal="center" vertical="top"/>
    </xf>
    <xf numFmtId="0" fontId="7" fillId="2" borderId="4" xfId="0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7" fillId="2" borderId="5" xfId="0" applyFont="1" applyFill="1" applyBorder="1" applyAlignment="1">
      <alignment horizontal="centerContinuous" vertical="center"/>
    </xf>
    <xf numFmtId="0" fontId="8" fillId="0" borderId="0" xfId="1" applyFont="1" applyFill="1" applyBorder="1"/>
    <xf numFmtId="2" fontId="8" fillId="0" borderId="0" xfId="1" applyNumberFormat="1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Fill="1"/>
    <xf numFmtId="164" fontId="8" fillId="0" borderId="0" xfId="1" applyNumberFormat="1" applyFont="1" applyFill="1" applyBorder="1" applyAlignment="1">
      <alignment horizontal="center"/>
    </xf>
    <xf numFmtId="2" fontId="10" fillId="0" borderId="8" xfId="1" quotePrefix="1" applyNumberFormat="1" applyFont="1" applyFill="1" applyBorder="1" applyAlignment="1">
      <alignment horizontal="center"/>
    </xf>
    <xf numFmtId="164" fontId="10" fillId="0" borderId="8" xfId="1" quotePrefix="1" applyNumberFormat="1" applyFont="1" applyFill="1" applyBorder="1" applyAlignment="1">
      <alignment horizontal="center"/>
    </xf>
    <xf numFmtId="2" fontId="10" fillId="0" borderId="8" xfId="1" applyNumberFormat="1" applyFont="1" applyFill="1" applyBorder="1" applyAlignment="1">
      <alignment horizontal="center"/>
    </xf>
    <xf numFmtId="164" fontId="10" fillId="0" borderId="8" xfId="1" applyNumberFormat="1" applyFont="1" applyFill="1" applyBorder="1" applyAlignment="1">
      <alignment horizontal="center"/>
    </xf>
    <xf numFmtId="2" fontId="8" fillId="2" borderId="0" xfId="1" applyNumberFormat="1" applyFont="1" applyFill="1" applyBorder="1"/>
    <xf numFmtId="2" fontId="7" fillId="2" borderId="9" xfId="1" applyNumberFormat="1" applyFont="1" applyFill="1" applyBorder="1" applyAlignment="1">
      <alignment horizontal="centerContinuous" vertical="center"/>
    </xf>
    <xf numFmtId="2" fontId="8" fillId="0" borderId="0" xfId="0" applyNumberFormat="1" applyFont="1"/>
    <xf numFmtId="165" fontId="8" fillId="2" borderId="0" xfId="1" applyNumberFormat="1" applyFont="1" applyFill="1" applyBorder="1"/>
    <xf numFmtId="0" fontId="8" fillId="2" borderId="3" xfId="1" applyFont="1" applyFill="1" applyBorder="1" applyAlignment="1">
      <alignment horizontal="centerContinuous"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2" fontId="9" fillId="0" borderId="8" xfId="1" applyNumberFormat="1" applyFont="1" applyFill="1" applyBorder="1" applyAlignment="1">
      <alignment horizontal="center"/>
    </xf>
    <xf numFmtId="0" fontId="7" fillId="2" borderId="1" xfId="1" applyFont="1" applyFill="1" applyBorder="1" applyAlignment="1">
      <alignment horizontal="centerContinuous"/>
    </xf>
    <xf numFmtId="0" fontId="0" fillId="0" borderId="12" xfId="0" applyBorder="1" applyAlignment="1">
      <alignment horizontal="center"/>
    </xf>
    <xf numFmtId="43" fontId="0" fillId="0" borderId="12" xfId="3" applyFont="1" applyBorder="1" applyAlignment="1"/>
    <xf numFmtId="0" fontId="0" fillId="0" borderId="11" xfId="0" applyBorder="1"/>
    <xf numFmtId="0" fontId="0" fillId="0" borderId="11" xfId="0" applyBorder="1" applyAlignment="1">
      <alignment horizontal="center"/>
    </xf>
    <xf numFmtId="43" fontId="0" fillId="0" borderId="11" xfId="3" applyFont="1" applyBorder="1" applyAlignment="1"/>
    <xf numFmtId="43" fontId="0" fillId="0" borderId="0" xfId="0" applyNumberFormat="1"/>
    <xf numFmtId="43" fontId="0" fillId="0" borderId="11" xfId="3" applyFont="1" applyBorder="1"/>
    <xf numFmtId="0" fontId="0" fillId="0" borderId="0" xfId="0" applyAlignment="1">
      <alignment horizontal="center"/>
    </xf>
    <xf numFmtId="43" fontId="0" fillId="0" borderId="0" xfId="3" applyFont="1"/>
    <xf numFmtId="43" fontId="0" fillId="0" borderId="11" xfId="3" applyFont="1" applyBorder="1" applyAlignment="1">
      <alignment horizontal="center"/>
    </xf>
    <xf numFmtId="43" fontId="0" fillId="0" borderId="11" xfId="0" applyNumberFormat="1" applyBorder="1" applyAlignment="1">
      <alignment horizontal="center"/>
    </xf>
    <xf numFmtId="9" fontId="0" fillId="0" borderId="0" xfId="2" applyFont="1"/>
    <xf numFmtId="0" fontId="0" fillId="0" borderId="0" xfId="0" applyFill="1"/>
    <xf numFmtId="43" fontId="12" fillId="0" borderId="0" xfId="0" applyNumberFormat="1" applyFont="1"/>
    <xf numFmtId="0" fontId="12" fillId="0" borderId="0" xfId="0" applyFont="1"/>
    <xf numFmtId="43" fontId="13" fillId="0" borderId="0" xfId="3" applyFont="1" applyFill="1"/>
    <xf numFmtId="0" fontId="14" fillId="0" borderId="0" xfId="0" applyFont="1" applyFill="1"/>
    <xf numFmtId="0" fontId="10" fillId="0" borderId="0" xfId="1" applyFont="1" applyFill="1" applyBorder="1"/>
    <xf numFmtId="0" fontId="7" fillId="2" borderId="0" xfId="1" applyFont="1" applyFill="1" applyBorder="1" applyAlignment="1">
      <alignment horizontal="right"/>
    </xf>
    <xf numFmtId="0" fontId="8" fillId="0" borderId="0" xfId="0" applyFont="1" applyAlignment="1">
      <alignment horizontal="left"/>
    </xf>
    <xf numFmtId="0" fontId="4" fillId="2" borderId="0" xfId="1" applyFont="1" applyFill="1" applyBorder="1"/>
    <xf numFmtId="0" fontId="7" fillId="2" borderId="10" xfId="1" applyFont="1" applyFill="1" applyBorder="1" applyAlignment="1">
      <alignment textRotation="90"/>
    </xf>
    <xf numFmtId="0" fontId="9" fillId="0" borderId="0" xfId="1" applyFont="1" applyFill="1" applyBorder="1"/>
    <xf numFmtId="0" fontId="7" fillId="2" borderId="14" xfId="1" applyFont="1" applyFill="1" applyBorder="1" applyAlignment="1">
      <alignment horizontal="left" vertical="center"/>
    </xf>
    <xf numFmtId="0" fontId="8" fillId="0" borderId="2" xfId="1" applyFont="1" applyFill="1" applyBorder="1" applyAlignment="1">
      <alignment horizontal="centerContinuous"/>
    </xf>
    <xf numFmtId="2" fontId="8" fillId="0" borderId="14" xfId="1" applyNumberFormat="1" applyFont="1" applyFill="1" applyBorder="1" applyAlignment="1">
      <alignment horizontal="center" vertical="center"/>
    </xf>
    <xf numFmtId="2" fontId="0" fillId="3" borderId="0" xfId="0" applyNumberFormat="1" applyFill="1"/>
    <xf numFmtId="0" fontId="0" fillId="0" borderId="10" xfId="0" applyBorder="1"/>
    <xf numFmtId="0" fontId="0" fillId="0" borderId="15" xfId="0" applyBorder="1"/>
    <xf numFmtId="0" fontId="0" fillId="0" borderId="0" xfId="0" applyBorder="1"/>
    <xf numFmtId="0" fontId="0" fillId="0" borderId="16" xfId="0" applyBorder="1"/>
    <xf numFmtId="49" fontId="10" fillId="0" borderId="0" xfId="0" applyNumberFormat="1" applyFont="1" applyBorder="1"/>
    <xf numFmtId="49" fontId="10" fillId="0" borderId="16" xfId="0" applyNumberFormat="1" applyFont="1" applyBorder="1"/>
    <xf numFmtId="0" fontId="7" fillId="2" borderId="6" xfId="1" applyFont="1" applyFill="1" applyBorder="1" applyAlignment="1">
      <alignment horizontal="right"/>
    </xf>
    <xf numFmtId="0" fontId="7" fillId="2" borderId="14" xfId="1" applyFont="1" applyFill="1" applyBorder="1" applyAlignment="1">
      <alignment horizontal="right"/>
    </xf>
    <xf numFmtId="0" fontId="7" fillId="2" borderId="14" xfId="1" applyFont="1" applyFill="1" applyBorder="1"/>
    <xf numFmtId="10" fontId="7" fillId="2" borderId="14" xfId="1" applyNumberFormat="1" applyFont="1" applyFill="1" applyBorder="1" applyAlignment="1">
      <alignment horizontal="left"/>
    </xf>
    <xf numFmtId="2" fontId="8" fillId="2" borderId="14" xfId="1" applyNumberFormat="1" applyFont="1" applyFill="1" applyBorder="1"/>
    <xf numFmtId="0" fontId="8" fillId="2" borderId="14" xfId="1" applyFont="1" applyFill="1" applyBorder="1"/>
    <xf numFmtId="0" fontId="8" fillId="0" borderId="14" xfId="1" applyFont="1" applyFill="1" applyBorder="1"/>
    <xf numFmtId="0" fontId="7" fillId="2" borderId="14" xfId="1" applyFont="1" applyFill="1" applyBorder="1" applyAlignment="1">
      <alignment horizontal="left"/>
    </xf>
    <xf numFmtId="0" fontId="0" fillId="0" borderId="14" xfId="0" applyBorder="1"/>
    <xf numFmtId="0" fontId="0" fillId="0" borderId="17" xfId="0" applyBorder="1"/>
    <xf numFmtId="4" fontId="10" fillId="0" borderId="8" xfId="1" applyNumberFormat="1" applyFont="1" applyFill="1" applyBorder="1" applyAlignment="1">
      <alignment horizontal="center"/>
    </xf>
    <xf numFmtId="4" fontId="9" fillId="0" borderId="8" xfId="1" applyNumberFormat="1" applyFont="1" applyFill="1" applyBorder="1" applyAlignment="1">
      <alignment horizontal="center"/>
    </xf>
    <xf numFmtId="2" fontId="10" fillId="0" borderId="19" xfId="1" applyNumberFormat="1" applyFont="1" applyFill="1" applyBorder="1" applyAlignment="1">
      <alignment horizontal="center"/>
    </xf>
    <xf numFmtId="2" fontId="10" fillId="0" borderId="8" xfId="0" applyNumberFormat="1" applyFont="1" applyFill="1" applyBorder="1" applyAlignment="1">
      <alignment horizontal="center"/>
    </xf>
    <xf numFmtId="166" fontId="10" fillId="0" borderId="0" xfId="0" applyNumberFormat="1" applyFont="1"/>
    <xf numFmtId="0" fontId="2" fillId="2" borderId="10" xfId="1" applyFont="1" applyFill="1" applyBorder="1" applyAlignment="1">
      <alignment horizontal="center"/>
    </xf>
    <xf numFmtId="0" fontId="7" fillId="2" borderId="20" xfId="1" applyFont="1" applyFill="1" applyBorder="1"/>
    <xf numFmtId="0" fontId="7" fillId="2" borderId="7" xfId="1" applyFont="1" applyFill="1" applyBorder="1" applyAlignment="1">
      <alignment horizontal="left" vertical="center"/>
    </xf>
    <xf numFmtId="2" fontId="10" fillId="0" borderId="18" xfId="1" applyNumberFormat="1" applyFont="1" applyFill="1" applyBorder="1" applyAlignment="1">
      <alignment horizontal="center"/>
    </xf>
    <xf numFmtId="2" fontId="10" fillId="0" borderId="8" xfId="1" applyNumberFormat="1" applyFont="1" applyFill="1" applyBorder="1" applyAlignment="1">
      <alignment horizontal="center" vertical="center"/>
    </xf>
    <xf numFmtId="0" fontId="7" fillId="2" borderId="22" xfId="1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2" borderId="13" xfId="1" applyFont="1" applyFill="1" applyBorder="1"/>
    <xf numFmtId="0" fontId="2" fillId="2" borderId="10" xfId="1" applyFont="1" applyFill="1" applyBorder="1"/>
    <xf numFmtId="2" fontId="2" fillId="2" borderId="10" xfId="1" applyNumberFormat="1" applyFont="1" applyFill="1" applyBorder="1"/>
    <xf numFmtId="0" fontId="2" fillId="0" borderId="10" xfId="1" applyFont="1" applyFill="1" applyBorder="1"/>
    <xf numFmtId="0" fontId="2" fillId="2" borderId="0" xfId="1" applyFont="1" applyFill="1" applyBorder="1" applyAlignment="1">
      <alignment horizontal="centerContinuous"/>
    </xf>
    <xf numFmtId="2" fontId="2" fillId="2" borderId="0" xfId="1" applyNumberFormat="1" applyFont="1" applyFill="1" applyBorder="1" applyAlignment="1">
      <alignment horizontal="centerContinuous"/>
    </xf>
    <xf numFmtId="0" fontId="2" fillId="0" borderId="0" xfId="1" applyFont="1" applyFill="1" applyBorder="1" applyAlignment="1">
      <alignment horizontal="centerContinuous"/>
    </xf>
    <xf numFmtId="0" fontId="2" fillId="2" borderId="1" xfId="1" applyFont="1" applyFill="1" applyBorder="1"/>
    <xf numFmtId="0" fontId="2" fillId="2" borderId="0" xfId="1" applyFont="1" applyFill="1" applyBorder="1"/>
    <xf numFmtId="0" fontId="2" fillId="2" borderId="0" xfId="1" applyFont="1" applyFill="1" applyBorder="1" applyAlignment="1">
      <alignment horizontal="center"/>
    </xf>
    <xf numFmtId="2" fontId="2" fillId="2" borderId="0" xfId="1" applyNumberFormat="1" applyFont="1" applyFill="1" applyBorder="1"/>
    <xf numFmtId="0" fontId="2" fillId="0" borderId="0" xfId="1" applyFont="1" applyFill="1" applyBorder="1"/>
    <xf numFmtId="44" fontId="7" fillId="2" borderId="7" xfId="1" applyNumberFormat="1" applyFont="1" applyFill="1" applyBorder="1" applyAlignment="1">
      <alignment vertical="center"/>
    </xf>
    <xf numFmtId="44" fontId="10" fillId="0" borderId="8" xfId="1" applyNumberFormat="1" applyFont="1" applyFill="1" applyBorder="1"/>
    <xf numFmtId="44" fontId="10" fillId="0" borderId="0" xfId="0" applyNumberFormat="1" applyFont="1"/>
    <xf numFmtId="0" fontId="7" fillId="0" borderId="14" xfId="0" applyFont="1" applyFill="1" applyBorder="1" applyAlignment="1">
      <alignment vertical="center"/>
    </xf>
    <xf numFmtId="2" fontId="8" fillId="2" borderId="6" xfId="1" applyNumberFormat="1" applyFont="1" applyFill="1" applyBorder="1" applyAlignment="1">
      <alignment horizontal="center" vertical="center"/>
    </xf>
    <xf numFmtId="164" fontId="8" fillId="2" borderId="14" xfId="1" applyNumberFormat="1" applyFont="1" applyFill="1" applyBorder="1" applyAlignment="1">
      <alignment horizontal="center" vertical="center"/>
    </xf>
    <xf numFmtId="2" fontId="8" fillId="2" borderId="14" xfId="1" applyNumberFormat="1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vertical="center"/>
    </xf>
    <xf numFmtId="0" fontId="7" fillId="2" borderId="21" xfId="1" applyFont="1" applyFill="1" applyBorder="1" applyAlignment="1">
      <alignment horizontal="center" vertical="top"/>
    </xf>
    <xf numFmtId="0" fontId="7" fillId="2" borderId="0" xfId="1" applyFont="1" applyFill="1" applyBorder="1" applyAlignment="1">
      <alignment horizontal="center" vertical="top" textRotation="90"/>
    </xf>
    <xf numFmtId="0" fontId="7" fillId="2" borderId="23" xfId="1" applyFont="1" applyFill="1" applyBorder="1" applyAlignment="1">
      <alignment horizontal="center" vertical="top" wrapText="1"/>
    </xf>
    <xf numFmtId="0" fontId="7" fillId="2" borderId="8" xfId="1" applyFont="1" applyFill="1" applyBorder="1" applyAlignment="1">
      <alignment horizontal="center" vertical="top" wrapText="1"/>
    </xf>
    <xf numFmtId="2" fontId="7" fillId="2" borderId="24" xfId="1" applyNumberFormat="1" applyFont="1" applyFill="1" applyBorder="1" applyAlignment="1">
      <alignment horizontal="centerContinuous" vertical="center" wrapText="1"/>
    </xf>
    <xf numFmtId="0" fontId="7" fillId="2" borderId="24" xfId="1" applyFont="1" applyFill="1" applyBorder="1" applyAlignment="1">
      <alignment horizontal="centerContinuous" vertical="center"/>
    </xf>
    <xf numFmtId="0" fontId="7" fillId="2" borderId="24" xfId="1" applyFont="1" applyFill="1" applyBorder="1" applyAlignment="1">
      <alignment horizontal="center" vertical="center"/>
    </xf>
    <xf numFmtId="0" fontId="8" fillId="0" borderId="24" xfId="1" applyFont="1" applyFill="1" applyBorder="1" applyAlignment="1">
      <alignment horizontal="center" vertical="center"/>
    </xf>
    <xf numFmtId="0" fontId="7" fillId="2" borderId="24" xfId="1" applyFont="1" applyFill="1" applyBorder="1" applyAlignment="1">
      <alignment horizontal="center" vertical="top" wrapText="1"/>
    </xf>
    <xf numFmtId="0" fontId="7" fillId="2" borderId="25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2" fontId="10" fillId="0" borderId="0" xfId="1" applyNumberFormat="1" applyFont="1" applyFill="1" applyBorder="1" applyAlignment="1">
      <alignment horizontal="center"/>
    </xf>
    <xf numFmtId="0" fontId="10" fillId="0" borderId="0" xfId="1" applyFont="1" applyFill="1" applyBorder="1" applyAlignment="1">
      <alignment vertical="center"/>
    </xf>
    <xf numFmtId="0" fontId="9" fillId="0" borderId="24" xfId="1" applyFont="1" applyFill="1" applyBorder="1"/>
    <xf numFmtId="0" fontId="10" fillId="0" borderId="8" xfId="1" applyFont="1" applyFill="1" applyBorder="1"/>
    <xf numFmtId="0" fontId="9" fillId="0" borderId="8" xfId="1" applyFont="1" applyFill="1" applyBorder="1"/>
    <xf numFmtId="0" fontId="18" fillId="0" borderId="8" xfId="1" applyFont="1" applyFill="1" applyBorder="1" applyAlignment="1">
      <alignment vertical="center" wrapText="1"/>
    </xf>
    <xf numFmtId="0" fontId="10" fillId="0" borderId="8" xfId="1" applyFont="1" applyFill="1" applyBorder="1" applyAlignment="1">
      <alignment vertical="center" wrapText="1"/>
    </xf>
    <xf numFmtId="0" fontId="18" fillId="0" borderId="8" xfId="1" applyFont="1" applyFill="1" applyBorder="1" applyAlignment="1">
      <alignment horizontal="left" vertical="center" wrapText="1"/>
    </xf>
    <xf numFmtId="2" fontId="10" fillId="0" borderId="24" xfId="1" quotePrefix="1" applyNumberFormat="1" applyFont="1" applyFill="1" applyBorder="1" applyAlignment="1">
      <alignment horizontal="center"/>
    </xf>
    <xf numFmtId="164" fontId="10" fillId="0" borderId="24" xfId="1" quotePrefix="1" applyNumberFormat="1" applyFont="1" applyFill="1" applyBorder="1" applyAlignment="1">
      <alignment horizontal="center"/>
    </xf>
    <xf numFmtId="164" fontId="10" fillId="0" borderId="8" xfId="1" applyNumberFormat="1" applyFont="1" applyFill="1" applyBorder="1" applyAlignment="1">
      <alignment horizontal="center" vertical="center"/>
    </xf>
    <xf numFmtId="2" fontId="10" fillId="0" borderId="24" xfId="1" applyNumberFormat="1" applyFont="1" applyFill="1" applyBorder="1" applyAlignment="1">
      <alignment horizontal="center"/>
    </xf>
    <xf numFmtId="2" fontId="9" fillId="0" borderId="8" xfId="1" applyNumberFormat="1" applyFont="1" applyFill="1" applyBorder="1" applyAlignment="1">
      <alignment horizontal="center" vertical="center"/>
    </xf>
    <xf numFmtId="0" fontId="0" fillId="0" borderId="8" xfId="0" applyBorder="1"/>
    <xf numFmtId="44" fontId="0" fillId="0" borderId="8" xfId="0" applyNumberFormat="1" applyBorder="1"/>
    <xf numFmtId="44" fontId="10" fillId="0" borderId="27" xfId="1" applyNumberFormat="1" applyFont="1" applyFill="1" applyBorder="1"/>
    <xf numFmtId="44" fontId="10" fillId="0" borderId="19" xfId="1" applyNumberFormat="1" applyFont="1" applyFill="1" applyBorder="1"/>
    <xf numFmtId="44" fontId="9" fillId="0" borderId="24" xfId="1" applyNumberFormat="1" applyFont="1" applyFill="1" applyBorder="1"/>
    <xf numFmtId="44" fontId="9" fillId="0" borderId="8" xfId="1" applyNumberFormat="1" applyFont="1" applyFill="1" applyBorder="1"/>
    <xf numFmtId="44" fontId="9" fillId="0" borderId="8" xfId="0" applyNumberFormat="1" applyFont="1" applyBorder="1"/>
    <xf numFmtId="0" fontId="10" fillId="0" borderId="24" xfId="0" applyFont="1" applyBorder="1"/>
    <xf numFmtId="0" fontId="10" fillId="0" borderId="0" xfId="0" applyFont="1" applyBorder="1"/>
    <xf numFmtId="0" fontId="10" fillId="0" borderId="19" xfId="0" applyFont="1" applyBorder="1"/>
    <xf numFmtId="0" fontId="9" fillId="2" borderId="0" xfId="1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</cellXfs>
  <cellStyles count="4">
    <cellStyle name="Normal" xfId="0" builtinId="0"/>
    <cellStyle name="Normal_ORÇAMENTO" xfId="1"/>
    <cellStyle name="Porcentagem" xfId="2" builtinId="5"/>
    <cellStyle name="Vírgula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3"/>
  <sheetViews>
    <sheetView workbookViewId="0">
      <selection activeCell="C7" sqref="C7"/>
    </sheetView>
  </sheetViews>
  <sheetFormatPr baseColWidth="10" defaultColWidth="8.75" defaultRowHeight="11" x14ac:dyDescent="0.15"/>
  <cols>
    <col min="1" max="1" width="31.75" customWidth="1"/>
    <col min="3" max="3" width="14.5" customWidth="1"/>
    <col min="4" max="4" width="14.75" customWidth="1"/>
    <col min="5" max="5" width="15.75" customWidth="1"/>
    <col min="6" max="6" width="18.25" customWidth="1"/>
    <col min="8" max="8" width="13.25" customWidth="1"/>
  </cols>
  <sheetData>
    <row r="2" spans="1:6" ht="13" x14ac:dyDescent="0.15">
      <c r="A2" s="142" t="s">
        <v>0</v>
      </c>
      <c r="B2" s="142"/>
      <c r="C2" s="142"/>
      <c r="D2" s="142"/>
      <c r="E2" s="142"/>
    </row>
    <row r="4" spans="1:6" x14ac:dyDescent="0.15">
      <c r="B4" s="31"/>
      <c r="C4" s="32"/>
      <c r="D4" s="32"/>
      <c r="E4" s="32"/>
    </row>
    <row r="5" spans="1:6" ht="13" x14ac:dyDescent="0.15">
      <c r="A5" s="85" t="s">
        <v>1</v>
      </c>
      <c r="B5" s="33" t="s">
        <v>2</v>
      </c>
      <c r="C5" s="33" t="s">
        <v>3</v>
      </c>
      <c r="D5" s="33" t="s">
        <v>4</v>
      </c>
      <c r="E5" s="33" t="s">
        <v>5</v>
      </c>
    </row>
    <row r="6" spans="1:6" x14ac:dyDescent="0.15">
      <c r="A6" s="33" t="s">
        <v>6</v>
      </c>
      <c r="B6" s="34" t="s">
        <v>7</v>
      </c>
      <c r="C6" s="35">
        <f>'resumo geral'!K25</f>
        <v>8177.8</v>
      </c>
      <c r="D6" s="35"/>
      <c r="E6" s="35">
        <f t="shared" ref="E6:E13" si="0">D6*C6</f>
        <v>0</v>
      </c>
    </row>
    <row r="7" spans="1:6" x14ac:dyDescent="0.15">
      <c r="A7" s="33" t="s">
        <v>6</v>
      </c>
      <c r="B7" s="34" t="s">
        <v>7</v>
      </c>
      <c r="C7" s="35">
        <f>4.5*C6</f>
        <v>36800.1</v>
      </c>
      <c r="D7" s="35"/>
      <c r="E7" s="35">
        <f t="shared" si="0"/>
        <v>0</v>
      </c>
    </row>
    <row r="8" spans="1:6" x14ac:dyDescent="0.15">
      <c r="A8" s="33" t="s">
        <v>8</v>
      </c>
      <c r="B8" s="34" t="s">
        <v>9</v>
      </c>
      <c r="C8" s="35">
        <f>0.029*C6</f>
        <v>237.15620000000001</v>
      </c>
      <c r="D8" s="35"/>
      <c r="E8" s="35">
        <f t="shared" si="0"/>
        <v>0</v>
      </c>
      <c r="F8" s="36"/>
    </row>
    <row r="9" spans="1:6" x14ac:dyDescent="0.15">
      <c r="A9" s="33" t="s">
        <v>10</v>
      </c>
      <c r="B9" s="34" t="s">
        <v>9</v>
      </c>
      <c r="C9" s="35">
        <f>0.017*C6</f>
        <v>139.02260000000001</v>
      </c>
      <c r="D9" s="35"/>
      <c r="E9" s="35">
        <f t="shared" si="0"/>
        <v>0</v>
      </c>
    </row>
    <row r="10" spans="1:6" x14ac:dyDescent="0.15">
      <c r="A10" s="33" t="s">
        <v>11</v>
      </c>
      <c r="B10" s="34" t="s">
        <v>9</v>
      </c>
      <c r="C10" s="35">
        <f>0.0085*C6</f>
        <v>69.511300000000006</v>
      </c>
      <c r="D10" s="35"/>
      <c r="E10" s="35">
        <f t="shared" si="0"/>
        <v>0</v>
      </c>
    </row>
    <row r="11" spans="1:6" x14ac:dyDescent="0.15">
      <c r="A11" s="33" t="s">
        <v>12</v>
      </c>
      <c r="B11" s="34" t="s">
        <v>9</v>
      </c>
      <c r="C11" s="35">
        <f>0.007*C6</f>
        <v>57.244600000000005</v>
      </c>
      <c r="D11" s="35"/>
      <c r="E11" s="35">
        <f t="shared" si="0"/>
        <v>0</v>
      </c>
    </row>
    <row r="12" spans="1:6" x14ac:dyDescent="0.15">
      <c r="A12" s="33" t="s">
        <v>13</v>
      </c>
      <c r="B12" s="34" t="s">
        <v>14</v>
      </c>
      <c r="C12" s="35">
        <f>C6*7.5/50</f>
        <v>1226.67</v>
      </c>
      <c r="D12" s="35"/>
      <c r="E12" s="35">
        <f t="shared" si="0"/>
        <v>0</v>
      </c>
    </row>
    <row r="13" spans="1:6" x14ac:dyDescent="0.15">
      <c r="A13" s="33" t="s">
        <v>15</v>
      </c>
      <c r="B13" s="34" t="s">
        <v>16</v>
      </c>
      <c r="C13" s="35"/>
      <c r="D13" s="35"/>
      <c r="E13" s="35">
        <f t="shared" si="0"/>
        <v>0</v>
      </c>
    </row>
    <row r="14" spans="1:6" x14ac:dyDescent="0.15">
      <c r="A14" s="33" t="s">
        <v>17</v>
      </c>
      <c r="B14" s="34" t="s">
        <v>18</v>
      </c>
      <c r="C14" s="35"/>
      <c r="D14" s="35"/>
      <c r="E14" s="35">
        <f>D14*C14</f>
        <v>0</v>
      </c>
    </row>
    <row r="15" spans="1:6" x14ac:dyDescent="0.15">
      <c r="A15" s="33" t="s">
        <v>19</v>
      </c>
      <c r="B15" s="34" t="s">
        <v>20</v>
      </c>
      <c r="C15" s="35"/>
      <c r="D15" s="35"/>
      <c r="E15" s="35">
        <f>D15*C15</f>
        <v>0</v>
      </c>
    </row>
    <row r="16" spans="1:6" x14ac:dyDescent="0.15">
      <c r="A16" s="33" t="s">
        <v>21</v>
      </c>
      <c r="B16" s="34" t="s">
        <v>22</v>
      </c>
      <c r="C16" s="35"/>
      <c r="D16" s="35"/>
      <c r="E16" s="35">
        <f>D16*C16</f>
        <v>0</v>
      </c>
    </row>
    <row r="17" spans="1:5" x14ac:dyDescent="0.15">
      <c r="A17" s="33"/>
      <c r="B17" s="34"/>
      <c r="C17" s="37"/>
      <c r="D17" s="37"/>
      <c r="E17" s="37">
        <f>SUM(E6:E16)</f>
        <v>0</v>
      </c>
    </row>
    <row r="18" spans="1:5" x14ac:dyDescent="0.15">
      <c r="B18" s="38"/>
      <c r="C18" s="39"/>
      <c r="D18" s="39"/>
      <c r="E18" s="39"/>
    </row>
    <row r="19" spans="1:5" x14ac:dyDescent="0.15">
      <c r="A19" s="33" t="s">
        <v>23</v>
      </c>
      <c r="B19" s="33" t="s">
        <v>2</v>
      </c>
      <c r="C19" s="33" t="s">
        <v>3</v>
      </c>
      <c r="D19" s="33" t="s">
        <v>4</v>
      </c>
      <c r="E19" s="33" t="s">
        <v>5</v>
      </c>
    </row>
    <row r="20" spans="1:5" x14ac:dyDescent="0.15">
      <c r="A20" s="33" t="s">
        <v>24</v>
      </c>
      <c r="B20" s="34" t="s">
        <v>20</v>
      </c>
      <c r="C20" s="40">
        <f>C6</f>
        <v>8177.8</v>
      </c>
      <c r="D20" s="37"/>
      <c r="E20" s="37">
        <f>D20*C20</f>
        <v>0</v>
      </c>
    </row>
    <row r="21" spans="1:5" x14ac:dyDescent="0.15">
      <c r="A21" s="33"/>
      <c r="B21" s="33"/>
      <c r="C21" s="33"/>
      <c r="D21" s="37"/>
      <c r="E21" s="35">
        <f>SUM(E20:E20)</f>
        <v>0</v>
      </c>
    </row>
    <row r="24" spans="1:5" x14ac:dyDescent="0.15">
      <c r="A24" s="33" t="s">
        <v>25</v>
      </c>
      <c r="B24" s="33" t="s">
        <v>2</v>
      </c>
      <c r="C24" s="33" t="s">
        <v>3</v>
      </c>
      <c r="D24" s="33" t="s">
        <v>4</v>
      </c>
      <c r="E24" s="33" t="s">
        <v>5</v>
      </c>
    </row>
    <row r="25" spans="1:5" x14ac:dyDescent="0.15">
      <c r="A25" s="33" t="s">
        <v>26</v>
      </c>
      <c r="B25" s="34" t="s">
        <v>27</v>
      </c>
      <c r="C25" s="34">
        <v>4</v>
      </c>
      <c r="D25" s="37"/>
      <c r="E25" s="37">
        <f>D25*C25</f>
        <v>0</v>
      </c>
    </row>
    <row r="26" spans="1:5" x14ac:dyDescent="0.15">
      <c r="A26" s="33" t="s">
        <v>28</v>
      </c>
      <c r="B26" s="34" t="s">
        <v>20</v>
      </c>
      <c r="C26" s="41">
        <f>C6</f>
        <v>8177.8</v>
      </c>
      <c r="D26" s="37"/>
      <c r="E26" s="37">
        <f>D26*C26</f>
        <v>0</v>
      </c>
    </row>
    <row r="27" spans="1:5" x14ac:dyDescent="0.15">
      <c r="A27" s="33"/>
      <c r="B27" s="33"/>
      <c r="C27" s="33"/>
      <c r="D27" s="37"/>
      <c r="E27" s="35">
        <f>SUM(E25:E26)</f>
        <v>0</v>
      </c>
    </row>
    <row r="30" spans="1:5" x14ac:dyDescent="0.15">
      <c r="A30" s="33" t="s">
        <v>29</v>
      </c>
      <c r="B30" s="33" t="s">
        <v>2</v>
      </c>
      <c r="C30" s="33" t="s">
        <v>3</v>
      </c>
      <c r="D30" s="33" t="s">
        <v>4</v>
      </c>
      <c r="E30" s="33" t="s">
        <v>5</v>
      </c>
    </row>
    <row r="31" spans="1:5" x14ac:dyDescent="0.15">
      <c r="A31" s="33" t="s">
        <v>24</v>
      </c>
      <c r="B31" s="34" t="s">
        <v>30</v>
      </c>
      <c r="C31" s="34">
        <v>4</v>
      </c>
      <c r="D31" s="37"/>
      <c r="E31" s="37">
        <f>D31*C31</f>
        <v>0</v>
      </c>
    </row>
    <row r="32" spans="1:5" x14ac:dyDescent="0.15">
      <c r="A32" s="33" t="s">
        <v>31</v>
      </c>
      <c r="B32" s="34" t="s">
        <v>30</v>
      </c>
      <c r="C32" s="34">
        <v>4</v>
      </c>
      <c r="D32" s="37"/>
      <c r="E32" s="37">
        <f>D32*C32</f>
        <v>0</v>
      </c>
    </row>
    <row r="33" spans="1:6" x14ac:dyDescent="0.15">
      <c r="A33" s="33" t="s">
        <v>32</v>
      </c>
      <c r="B33" s="34" t="s">
        <v>27</v>
      </c>
      <c r="C33" s="34">
        <v>2</v>
      </c>
      <c r="D33" s="37"/>
      <c r="E33" s="37">
        <f>D33*C33</f>
        <v>0</v>
      </c>
    </row>
    <row r="34" spans="1:6" x14ac:dyDescent="0.15">
      <c r="A34" s="33"/>
      <c r="B34" s="33"/>
      <c r="C34" s="33"/>
      <c r="D34" s="37"/>
      <c r="E34" s="35">
        <f>E32+E31+E33</f>
        <v>0</v>
      </c>
    </row>
    <row r="36" spans="1:6" x14ac:dyDescent="0.15">
      <c r="A36" t="s">
        <v>33</v>
      </c>
      <c r="D36" s="42" t="e">
        <f>E36/E41</f>
        <v>#REF!</v>
      </c>
      <c r="E36" s="36"/>
      <c r="F36" t="s">
        <v>34</v>
      </c>
    </row>
    <row r="37" spans="1:6" x14ac:dyDescent="0.15">
      <c r="D37" s="42" t="e">
        <f>E37/E41</f>
        <v>#REF!</v>
      </c>
      <c r="E37" s="39"/>
      <c r="F37" t="s">
        <v>35</v>
      </c>
    </row>
    <row r="38" spans="1:6" x14ac:dyDescent="0.15">
      <c r="D38" s="42"/>
      <c r="E38" s="36"/>
    </row>
    <row r="39" spans="1:6" x14ac:dyDescent="0.15">
      <c r="D39" s="42"/>
      <c r="E39" s="44">
        <f>E38+E37+E36</f>
        <v>0</v>
      </c>
      <c r="F39" s="45" t="s">
        <v>36</v>
      </c>
    </row>
    <row r="40" spans="1:6" x14ac:dyDescent="0.15">
      <c r="D40" s="42" t="e">
        <f>E40/E41</f>
        <v>#REF!</v>
      </c>
      <c r="E40" s="36" t="e">
        <f>E41-E38-E37-E36</f>
        <v>#REF!</v>
      </c>
      <c r="F40" t="s">
        <v>37</v>
      </c>
    </row>
    <row r="41" spans="1:6" ht="13" x14ac:dyDescent="0.15">
      <c r="D41" s="42"/>
      <c r="E41" s="46" t="e">
        <f>'resumo geral'!N65</f>
        <v>#REF!</v>
      </c>
      <c r="F41" s="47" t="s">
        <v>38</v>
      </c>
    </row>
    <row r="42" spans="1:6" x14ac:dyDescent="0.15">
      <c r="E42" s="39" t="e">
        <f>(E36+E37+E38)/C15</f>
        <v>#DIV/0!</v>
      </c>
      <c r="F42" s="43" t="s">
        <v>39</v>
      </c>
    </row>
    <row r="43" spans="1:6" x14ac:dyDescent="0.15">
      <c r="E43" s="57" t="e">
        <f>E41/C6</f>
        <v>#REF!</v>
      </c>
      <c r="F43" s="43" t="s">
        <v>40</v>
      </c>
    </row>
  </sheetData>
  <mergeCells count="1">
    <mergeCell ref="A2:E2"/>
  </mergeCells>
  <phoneticPr fontId="0" type="noConversion"/>
  <pageMargins left="0.78740157499999996" right="0.78740157499999996" top="0.984251969" bottom="0.984251969" header="0.49212598499999999" footer="0.49212598499999999"/>
  <pageSetup paperSize="9" orientation="portrait" horizontalDpi="4294967295" verticalDpi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1:P67"/>
  <sheetViews>
    <sheetView tabSelected="1" topLeftCell="B31" zoomScale="80" zoomScaleNormal="80" zoomScalePageLayoutView="80" workbookViewId="0">
      <selection activeCell="K59" sqref="K59"/>
    </sheetView>
  </sheetViews>
  <sheetFormatPr baseColWidth="10" defaultColWidth="8.75" defaultRowHeight="11" x14ac:dyDescent="0.15"/>
  <cols>
    <col min="1" max="1" width="16.5" hidden="1" customWidth="1"/>
    <col min="2" max="2" width="117.75" customWidth="1"/>
    <col min="3" max="3" width="0.25" hidden="1" customWidth="1"/>
    <col min="4" max="4" width="15" customWidth="1"/>
    <col min="5" max="5" width="18.75" customWidth="1"/>
    <col min="6" max="6" width="13.75" customWidth="1"/>
    <col min="7" max="7" width="20.5" customWidth="1"/>
    <col min="8" max="8" width="18.75" customWidth="1"/>
    <col min="9" max="9" width="20.75" style="43" customWidth="1"/>
    <col min="10" max="10" width="13.75" customWidth="1"/>
    <col min="11" max="11" width="23.25" customWidth="1"/>
    <col min="12" max="12" width="29.75" hidden="1" customWidth="1"/>
    <col min="13" max="13" width="34" customWidth="1"/>
    <col min="14" max="14" width="33.75" customWidth="1"/>
    <col min="16" max="16" width="30.25" bestFit="1" customWidth="1"/>
  </cols>
  <sheetData>
    <row r="1" spans="1:16" ht="13" x14ac:dyDescent="0.15">
      <c r="A1" s="26"/>
      <c r="B1" s="86"/>
      <c r="C1" s="87"/>
      <c r="D1" s="87"/>
      <c r="E1" s="79" t="s">
        <v>41</v>
      </c>
      <c r="F1" s="88"/>
      <c r="G1" s="87"/>
      <c r="H1" s="87"/>
      <c r="I1" s="89"/>
      <c r="J1" s="79"/>
      <c r="K1" s="58"/>
      <c r="L1" s="58"/>
      <c r="M1" s="58"/>
      <c r="N1" s="59"/>
    </row>
    <row r="2" spans="1:16" ht="23" x14ac:dyDescent="0.25">
      <c r="A2" s="26"/>
      <c r="B2" s="30" t="s">
        <v>42</v>
      </c>
      <c r="C2" s="4"/>
      <c r="D2" s="90"/>
      <c r="E2" s="90"/>
      <c r="F2" s="91"/>
      <c r="G2" s="90"/>
      <c r="H2" s="90"/>
      <c r="I2" s="92"/>
      <c r="J2" s="90"/>
      <c r="K2" s="60"/>
      <c r="L2" s="60"/>
      <c r="M2" s="60"/>
      <c r="N2" s="61"/>
    </row>
    <row r="3" spans="1:16" ht="13" x14ac:dyDescent="0.15">
      <c r="A3" s="26"/>
      <c r="B3" s="93"/>
      <c r="C3" s="94"/>
      <c r="D3" s="94"/>
      <c r="E3" s="95"/>
      <c r="F3" s="96"/>
      <c r="G3" s="94"/>
      <c r="H3" s="94"/>
      <c r="I3" s="97"/>
      <c r="J3" s="95"/>
      <c r="K3" s="60"/>
      <c r="L3" s="60"/>
      <c r="M3" s="60"/>
      <c r="N3" s="61"/>
    </row>
    <row r="4" spans="1:16" ht="18" x14ac:dyDescent="0.2">
      <c r="A4" s="26"/>
      <c r="B4" s="1" t="s">
        <v>43</v>
      </c>
      <c r="C4" s="49"/>
      <c r="D4" s="2" t="s">
        <v>44</v>
      </c>
      <c r="E4" s="2" t="s">
        <v>45</v>
      </c>
      <c r="F4" s="21"/>
      <c r="G4" s="3"/>
      <c r="H4" s="3"/>
      <c r="I4" s="12"/>
      <c r="J4" s="4"/>
      <c r="K4" s="60"/>
      <c r="L4" s="60"/>
      <c r="M4" s="60"/>
      <c r="N4" s="61"/>
    </row>
    <row r="5" spans="1:16" ht="18" x14ac:dyDescent="0.2">
      <c r="A5" s="26"/>
      <c r="B5" s="1" t="s">
        <v>46</v>
      </c>
      <c r="C5" s="49"/>
      <c r="D5" s="2" t="s">
        <v>44</v>
      </c>
      <c r="E5" s="2" t="s">
        <v>47</v>
      </c>
      <c r="F5" s="21"/>
      <c r="G5" s="24"/>
      <c r="H5" s="3"/>
      <c r="I5" s="12"/>
      <c r="J5" s="4"/>
      <c r="K5" s="60"/>
      <c r="L5" s="60"/>
      <c r="M5" s="60"/>
      <c r="N5" s="61"/>
    </row>
    <row r="6" spans="1:16" ht="20" x14ac:dyDescent="0.2">
      <c r="A6" s="26"/>
      <c r="B6" s="1" t="s">
        <v>48</v>
      </c>
      <c r="C6" s="49"/>
      <c r="D6" s="2" t="s">
        <v>44</v>
      </c>
      <c r="E6" s="2" t="s">
        <v>49</v>
      </c>
      <c r="F6" s="21"/>
      <c r="G6" s="24"/>
      <c r="H6" s="3"/>
      <c r="I6" s="12"/>
      <c r="J6" s="4"/>
      <c r="K6" s="60"/>
      <c r="L6" s="60"/>
      <c r="M6" s="62" t="s">
        <v>50</v>
      </c>
      <c r="N6" s="61"/>
    </row>
    <row r="7" spans="1:16" ht="18" hidden="1" x14ac:dyDescent="0.2">
      <c r="A7" s="50"/>
      <c r="B7" s="1" t="s">
        <v>51</v>
      </c>
      <c r="C7" s="49"/>
      <c r="D7" s="2" t="s">
        <v>44</v>
      </c>
      <c r="E7" s="2" t="s">
        <v>52</v>
      </c>
      <c r="F7" s="21"/>
      <c r="G7" s="24"/>
      <c r="H7" s="3"/>
      <c r="I7" s="12"/>
      <c r="J7" s="4"/>
      <c r="K7" s="60"/>
      <c r="L7" s="60"/>
      <c r="M7" s="60"/>
      <c r="N7" s="61"/>
    </row>
    <row r="8" spans="1:16" ht="18" hidden="1" x14ac:dyDescent="0.2">
      <c r="A8" s="50"/>
      <c r="B8" s="1" t="s">
        <v>53</v>
      </c>
      <c r="C8" s="49"/>
      <c r="D8" s="2" t="s">
        <v>44</v>
      </c>
      <c r="E8" s="4" t="s">
        <v>52</v>
      </c>
      <c r="F8" s="21"/>
      <c r="G8" s="24"/>
      <c r="H8" s="3"/>
      <c r="I8" s="12"/>
      <c r="J8" s="4"/>
      <c r="K8" s="60"/>
      <c r="L8" s="60"/>
      <c r="M8" s="60"/>
      <c r="N8" s="61"/>
    </row>
    <row r="9" spans="1:16" ht="20" x14ac:dyDescent="0.2">
      <c r="A9" s="26"/>
      <c r="B9" s="1" t="s">
        <v>54</v>
      </c>
      <c r="C9" s="49"/>
      <c r="D9" s="2" t="s">
        <v>44</v>
      </c>
      <c r="E9" s="51" t="s">
        <v>52</v>
      </c>
      <c r="F9" s="21"/>
      <c r="G9" s="3"/>
      <c r="H9" s="3"/>
      <c r="I9" s="12"/>
      <c r="J9" s="4"/>
      <c r="K9" s="60"/>
      <c r="L9" s="60"/>
      <c r="M9" s="60"/>
      <c r="N9" s="63" t="s">
        <v>55</v>
      </c>
    </row>
    <row r="10" spans="1:16" ht="19" thickBot="1" x14ac:dyDescent="0.25">
      <c r="A10" s="26"/>
      <c r="B10" s="1" t="s">
        <v>56</v>
      </c>
      <c r="C10" s="49"/>
      <c r="D10" s="2" t="s">
        <v>44</v>
      </c>
      <c r="E10" s="5">
        <v>0.28100000000000003</v>
      </c>
      <c r="F10" s="21"/>
      <c r="G10" s="3"/>
      <c r="H10" s="3"/>
      <c r="I10" s="12"/>
      <c r="J10" s="4"/>
      <c r="K10" s="60"/>
      <c r="L10" s="60"/>
      <c r="M10" s="60"/>
      <c r="N10" s="61"/>
    </row>
    <row r="11" spans="1:16" ht="19" hidden="1" thickBot="1" x14ac:dyDescent="0.25">
      <c r="A11" s="26"/>
      <c r="B11" s="64" t="s">
        <v>57</v>
      </c>
      <c r="C11" s="65"/>
      <c r="D11" s="66" t="s">
        <v>44</v>
      </c>
      <c r="E11" s="67"/>
      <c r="F11" s="68"/>
      <c r="G11" s="69"/>
      <c r="H11" s="69"/>
      <c r="I11" s="70"/>
      <c r="J11" s="71"/>
      <c r="K11" s="72"/>
      <c r="L11" s="72"/>
      <c r="M11" s="72"/>
      <c r="N11" s="73"/>
    </row>
    <row r="12" spans="1:16" ht="18" x14ac:dyDescent="0.2">
      <c r="A12" s="26"/>
      <c r="B12" s="80"/>
      <c r="C12" s="52"/>
      <c r="D12" s="84" t="s">
        <v>58</v>
      </c>
      <c r="E12" s="6" t="s">
        <v>59</v>
      </c>
      <c r="F12" s="22" t="s">
        <v>60</v>
      </c>
      <c r="G12" s="25"/>
      <c r="H12" s="7"/>
      <c r="I12" s="55"/>
      <c r="J12" s="8"/>
      <c r="K12" s="9" t="s">
        <v>61</v>
      </c>
      <c r="L12" s="10"/>
      <c r="M12" s="10"/>
      <c r="N12" s="11"/>
    </row>
    <row r="13" spans="1:16" ht="59" x14ac:dyDescent="0.15">
      <c r="A13" s="26"/>
      <c r="B13" s="106" t="s">
        <v>62</v>
      </c>
      <c r="C13" s="107" t="s">
        <v>63</v>
      </c>
      <c r="D13" s="108" t="s">
        <v>64</v>
      </c>
      <c r="E13" s="109" t="s">
        <v>65</v>
      </c>
      <c r="F13" s="110" t="s">
        <v>66</v>
      </c>
      <c r="G13" s="111" t="s">
        <v>67</v>
      </c>
      <c r="H13" s="112" t="s">
        <v>68</v>
      </c>
      <c r="I13" s="113" t="s">
        <v>69</v>
      </c>
      <c r="J13" s="114" t="s">
        <v>70</v>
      </c>
      <c r="K13" s="115" t="s">
        <v>71</v>
      </c>
      <c r="L13" s="116" t="s">
        <v>72</v>
      </c>
      <c r="M13" s="116" t="s">
        <v>73</v>
      </c>
      <c r="N13" s="117" t="s">
        <v>74</v>
      </c>
    </row>
    <row r="14" spans="1:16" ht="20" x14ac:dyDescent="0.2">
      <c r="A14" s="27"/>
      <c r="B14" s="120" t="s">
        <v>75</v>
      </c>
      <c r="C14" s="53"/>
      <c r="D14" s="126"/>
      <c r="E14" s="127"/>
      <c r="F14" s="126"/>
      <c r="G14" s="129"/>
      <c r="H14" s="129" t="str">
        <f>IF(ISBLANK(G14),"",SUM(F14:G14))</f>
        <v/>
      </c>
      <c r="I14" s="129"/>
      <c r="J14" s="126"/>
      <c r="K14" s="138"/>
      <c r="L14" s="139"/>
      <c r="M14" s="133"/>
      <c r="N14" s="135">
        <f>M15+M16+M17</f>
        <v>0</v>
      </c>
      <c r="P14" s="100"/>
    </row>
    <row r="15" spans="1:16" ht="20" x14ac:dyDescent="0.2">
      <c r="A15" s="27">
        <v>41100</v>
      </c>
      <c r="B15" s="121" t="s">
        <v>79</v>
      </c>
      <c r="C15" s="48"/>
      <c r="D15" s="19">
        <v>1</v>
      </c>
      <c r="E15" s="20">
        <v>0</v>
      </c>
      <c r="F15" s="19">
        <v>0</v>
      </c>
      <c r="G15" s="74"/>
      <c r="H15" s="74"/>
      <c r="I15" s="75"/>
      <c r="J15" s="19" t="s">
        <v>78</v>
      </c>
      <c r="K15" s="77">
        <v>1861.56</v>
      </c>
      <c r="L15" s="139"/>
      <c r="M15" s="134">
        <f>IF(ISBLANK(K15),0,ROUNDDOWN(I15*K15,2))</f>
        <v>0</v>
      </c>
      <c r="N15" s="99"/>
      <c r="P15" s="100"/>
    </row>
    <row r="16" spans="1:16" ht="20" x14ac:dyDescent="0.2">
      <c r="A16" s="27">
        <v>52010</v>
      </c>
      <c r="B16" s="121" t="s">
        <v>80</v>
      </c>
      <c r="C16" s="48"/>
      <c r="D16" s="19">
        <v>4</v>
      </c>
      <c r="E16" s="20">
        <v>1.5</v>
      </c>
      <c r="F16" s="19">
        <f>IF(D16&lt;=30,(0.6*D16+1.25)*E16,((0.6*30+1.25)+0.5*(D16-30))*E16)</f>
        <v>5.4749999999999996</v>
      </c>
      <c r="G16" s="19"/>
      <c r="H16" s="19"/>
      <c r="I16" s="29"/>
      <c r="J16" s="19" t="s">
        <v>78</v>
      </c>
      <c r="K16" s="77">
        <v>2606.1799999999998</v>
      </c>
      <c r="L16" s="139"/>
      <c r="M16" s="134">
        <f>IF(ISBLANK(K16),0,ROUNDDOWN(I16*K16,2))</f>
        <v>0</v>
      </c>
      <c r="N16" s="99"/>
      <c r="P16" s="100"/>
    </row>
    <row r="17" spans="1:16" ht="20" x14ac:dyDescent="0.2">
      <c r="A17" s="27">
        <v>40110</v>
      </c>
      <c r="B17" s="121" t="s">
        <v>81</v>
      </c>
      <c r="C17" s="48">
        <v>1</v>
      </c>
      <c r="D17" s="19"/>
      <c r="E17" s="20"/>
      <c r="F17" s="19"/>
      <c r="G17" s="19"/>
      <c r="H17" s="19"/>
      <c r="I17" s="29"/>
      <c r="J17" s="19" t="s">
        <v>78</v>
      </c>
      <c r="K17" s="77">
        <v>1861.56</v>
      </c>
      <c r="L17" s="139"/>
      <c r="M17" s="134">
        <f>IF(ISBLANK(K17),0,ROUNDDOWN(I17*K17,2))</f>
        <v>0</v>
      </c>
      <c r="N17" s="99"/>
      <c r="P17" s="100"/>
    </row>
    <row r="18" spans="1:16" ht="20" x14ac:dyDescent="0.2">
      <c r="A18" s="27" t="s">
        <v>82</v>
      </c>
      <c r="B18" s="122" t="s">
        <v>83</v>
      </c>
      <c r="C18" s="53"/>
      <c r="D18" s="19"/>
      <c r="E18" s="20"/>
      <c r="F18" s="19"/>
      <c r="G18" s="19"/>
      <c r="H18" s="19"/>
      <c r="I18" s="29"/>
      <c r="J18" s="19"/>
      <c r="K18" s="77"/>
      <c r="L18" s="139"/>
      <c r="M18" s="134"/>
      <c r="N18" s="136">
        <f>M19</f>
        <v>0</v>
      </c>
      <c r="P18" s="100"/>
    </row>
    <row r="19" spans="1:16" ht="20" x14ac:dyDescent="0.2">
      <c r="A19" s="27">
        <v>51110</v>
      </c>
      <c r="B19" s="121" t="s">
        <v>84</v>
      </c>
      <c r="C19" s="48">
        <v>1</v>
      </c>
      <c r="D19" s="19"/>
      <c r="E19" s="20">
        <v>0</v>
      </c>
      <c r="F19" s="19">
        <v>0</v>
      </c>
      <c r="G19" s="19"/>
      <c r="H19" s="19"/>
      <c r="I19" s="29"/>
      <c r="J19" s="19" t="s">
        <v>76</v>
      </c>
      <c r="K19" s="77">
        <v>9307.77</v>
      </c>
      <c r="L19" s="139"/>
      <c r="M19" s="134">
        <f>IF(ISBLANK(K19),0,ROUNDDOWN(I19*K19,2))</f>
        <v>0</v>
      </c>
      <c r="N19" s="99"/>
      <c r="P19" s="100"/>
    </row>
    <row r="20" spans="1:16" ht="20" x14ac:dyDescent="0.2">
      <c r="A20" s="27" t="s">
        <v>85</v>
      </c>
      <c r="B20" s="122" t="s">
        <v>86</v>
      </c>
      <c r="C20" s="53"/>
      <c r="D20" s="19"/>
      <c r="E20" s="20"/>
      <c r="F20" s="19"/>
      <c r="G20" s="19"/>
      <c r="H20" s="19"/>
      <c r="I20" s="29"/>
      <c r="J20" s="19"/>
      <c r="K20" s="77"/>
      <c r="L20" s="139"/>
      <c r="M20" s="134"/>
      <c r="N20" s="136">
        <f>M21</f>
        <v>0</v>
      </c>
      <c r="P20" s="100"/>
    </row>
    <row r="21" spans="1:16" ht="20" x14ac:dyDescent="0.2">
      <c r="A21" s="27">
        <v>54400</v>
      </c>
      <c r="B21" s="121" t="s">
        <v>89</v>
      </c>
      <c r="C21" s="48">
        <v>1</v>
      </c>
      <c r="D21" s="17"/>
      <c r="E21" s="20"/>
      <c r="F21" s="19">
        <f>SUM(F22:F23)</f>
        <v>20.883900000000001</v>
      </c>
      <c r="G21" s="19"/>
      <c r="H21" s="19"/>
      <c r="I21" s="29"/>
      <c r="J21" s="19" t="s">
        <v>78</v>
      </c>
      <c r="K21" s="77">
        <v>1226.7</v>
      </c>
      <c r="L21" s="139"/>
      <c r="M21" s="134">
        <f>IF(ISBLANK(K21),0,ROUNDDOWN(I21*K21,2))</f>
        <v>0</v>
      </c>
      <c r="N21" s="99"/>
      <c r="P21" s="100"/>
    </row>
    <row r="22" spans="1:16" ht="20" x14ac:dyDescent="0.2">
      <c r="A22" s="27"/>
      <c r="B22" s="121" t="s">
        <v>87</v>
      </c>
      <c r="C22" s="48"/>
      <c r="D22" s="19">
        <v>520</v>
      </c>
      <c r="E22" s="20">
        <v>7.0999999999999994E-2</v>
      </c>
      <c r="F22" s="19">
        <f>IF(D22&lt;=30,(0.42*D22+3.55)*E22,((0.42*30+3.55)+0.35*(D22-30))*E22)</f>
        <v>13.32315</v>
      </c>
      <c r="G22" s="19"/>
      <c r="H22" s="19"/>
      <c r="I22" s="29"/>
      <c r="J22" s="19"/>
      <c r="K22" s="77"/>
      <c r="L22" s="139"/>
      <c r="M22" s="134"/>
      <c r="N22" s="99"/>
      <c r="P22" s="100"/>
    </row>
    <row r="23" spans="1:16" ht="20" x14ac:dyDescent="0.2">
      <c r="A23" s="27"/>
      <c r="B23" s="121" t="s">
        <v>88</v>
      </c>
      <c r="C23" s="48"/>
      <c r="D23" s="17">
        <v>5</v>
      </c>
      <c r="E23" s="20">
        <v>1.7789999999999999</v>
      </c>
      <c r="F23" s="19">
        <f>IF(D23&lt;=30,(0.6*D23+1.25)*E23,((0.6*30+1.25)+0.5*(D23-30))*E23)</f>
        <v>7.5607499999999996</v>
      </c>
      <c r="G23" s="19"/>
      <c r="H23" s="19"/>
      <c r="I23" s="29"/>
      <c r="J23" s="19"/>
      <c r="K23" s="77"/>
      <c r="L23" s="139"/>
      <c r="M23" s="134"/>
      <c r="N23" s="99"/>
      <c r="P23" s="100"/>
    </row>
    <row r="24" spans="1:16" ht="20" x14ac:dyDescent="0.2">
      <c r="A24" s="27" t="s">
        <v>90</v>
      </c>
      <c r="B24" s="122" t="s">
        <v>91</v>
      </c>
      <c r="C24" s="53"/>
      <c r="D24" s="19"/>
      <c r="E24" s="20"/>
      <c r="F24" s="19"/>
      <c r="G24" s="19"/>
      <c r="H24" s="19"/>
      <c r="I24" s="29"/>
      <c r="J24" s="19"/>
      <c r="K24" s="77"/>
      <c r="L24" s="139"/>
      <c r="M24" s="134"/>
      <c r="N24" s="136">
        <f>M25</f>
        <v>0</v>
      </c>
      <c r="P24" s="100"/>
    </row>
    <row r="25" spans="1:16" ht="20" x14ac:dyDescent="0.2">
      <c r="A25" s="27">
        <v>56010</v>
      </c>
      <c r="B25" s="121" t="s">
        <v>92</v>
      </c>
      <c r="C25" s="48"/>
      <c r="D25" s="19">
        <v>520</v>
      </c>
      <c r="E25" s="18">
        <v>1.1999999999999999E-3</v>
      </c>
      <c r="F25" s="76">
        <f>(0.42*D25+20.61)*E25</f>
        <v>0.28681199999999996</v>
      </c>
      <c r="G25" s="19"/>
      <c r="H25" s="118"/>
      <c r="I25" s="29"/>
      <c r="J25" s="82" t="s">
        <v>76</v>
      </c>
      <c r="K25" s="77">
        <v>8177.8</v>
      </c>
      <c r="L25" s="139"/>
      <c r="M25" s="134">
        <f t="shared" ref="M25" si="0">IF(ISBLANK(K25),0,ROUNDDOWN(I25*K25,2))</f>
        <v>0</v>
      </c>
      <c r="N25" s="99"/>
      <c r="P25" s="100"/>
    </row>
    <row r="26" spans="1:16" ht="20" x14ac:dyDescent="0.2">
      <c r="A26" s="27" t="s">
        <v>93</v>
      </c>
      <c r="B26" s="122" t="s">
        <v>94</v>
      </c>
      <c r="C26" s="53"/>
      <c r="D26" s="17"/>
      <c r="E26" s="18"/>
      <c r="F26" s="17"/>
      <c r="G26" s="19"/>
      <c r="H26" s="19"/>
      <c r="I26" s="29"/>
      <c r="J26" s="19"/>
      <c r="K26" s="77"/>
      <c r="L26" s="139"/>
      <c r="M26" s="134"/>
      <c r="N26" s="136">
        <f>M27+M30</f>
        <v>0</v>
      </c>
      <c r="P26" s="100"/>
    </row>
    <row r="27" spans="1:16" ht="20" x14ac:dyDescent="0.2">
      <c r="A27" s="27">
        <v>58510</v>
      </c>
      <c r="B27" s="121" t="s">
        <v>100</v>
      </c>
      <c r="C27" s="48">
        <v>1</v>
      </c>
      <c r="D27" s="19"/>
      <c r="E27" s="20"/>
      <c r="F27" s="19">
        <f>SUM(F28:F29)</f>
        <v>1.3680129999999999</v>
      </c>
      <c r="G27" s="19"/>
      <c r="H27" s="19"/>
      <c r="I27" s="29"/>
      <c r="J27" s="19" t="s">
        <v>76</v>
      </c>
      <c r="K27" s="77">
        <v>8177.8</v>
      </c>
      <c r="L27" s="139"/>
      <c r="M27" s="134">
        <f t="shared" ref="M27:M30" si="1">IF(ISBLANK(K27),0,ROUNDDOWN(I27*K27,2))</f>
        <v>0</v>
      </c>
      <c r="N27" s="99"/>
      <c r="P27" s="100"/>
    </row>
    <row r="28" spans="1:16" ht="20" x14ac:dyDescent="0.2">
      <c r="A28" s="27"/>
      <c r="B28" s="121" t="s">
        <v>99</v>
      </c>
      <c r="C28" s="48"/>
      <c r="D28" s="19">
        <v>520</v>
      </c>
      <c r="E28" s="20">
        <v>3.8E-3</v>
      </c>
      <c r="F28" s="17">
        <f>(0.42*D28+20.61)*E28</f>
        <v>0.90823799999999999</v>
      </c>
      <c r="G28" s="19"/>
      <c r="H28" s="19"/>
      <c r="I28" s="29"/>
      <c r="J28" s="19"/>
      <c r="K28" s="77"/>
      <c r="L28" s="139"/>
      <c r="M28" s="134"/>
      <c r="N28" s="99"/>
      <c r="P28" s="100"/>
    </row>
    <row r="29" spans="1:16" ht="20" x14ac:dyDescent="0.2">
      <c r="A29" s="27"/>
      <c r="B29" s="121" t="s">
        <v>98</v>
      </c>
      <c r="C29" s="48"/>
      <c r="D29" s="17">
        <v>20</v>
      </c>
      <c r="E29" s="20">
        <v>3.4700000000000002E-2</v>
      </c>
      <c r="F29" s="19">
        <f>IF(D29&lt;=30,(0.6*D29+1.25)*E29,((0.6*30+1.25)+0.5*(D29-30))*E29)</f>
        <v>0.45977500000000004</v>
      </c>
      <c r="G29" s="19"/>
      <c r="H29" s="19"/>
      <c r="I29" s="29"/>
      <c r="J29" s="19"/>
      <c r="K29" s="77"/>
      <c r="L29" s="139"/>
      <c r="M29" s="134"/>
      <c r="N29" s="99"/>
      <c r="P29" s="100"/>
    </row>
    <row r="30" spans="1:16" ht="20" x14ac:dyDescent="0.2">
      <c r="A30" s="27">
        <v>56300</v>
      </c>
      <c r="B30" s="121" t="s">
        <v>101</v>
      </c>
      <c r="C30" s="48">
        <v>1</v>
      </c>
      <c r="D30" s="19" t="s">
        <v>102</v>
      </c>
      <c r="E30" s="20" t="s">
        <v>102</v>
      </c>
      <c r="F30" s="19">
        <f>SUM(F31:F32)</f>
        <v>0.20190999999999998</v>
      </c>
      <c r="G30" s="74"/>
      <c r="H30" s="74"/>
      <c r="I30" s="75"/>
      <c r="J30" s="19" t="s">
        <v>76</v>
      </c>
      <c r="K30" s="77">
        <v>8177.8</v>
      </c>
      <c r="L30" s="139"/>
      <c r="M30" s="134">
        <f t="shared" si="1"/>
        <v>0</v>
      </c>
      <c r="N30" s="99"/>
      <c r="P30" s="100"/>
    </row>
    <row r="31" spans="1:16" ht="20" x14ac:dyDescent="0.2">
      <c r="A31" s="27"/>
      <c r="B31" s="121" t="s">
        <v>97</v>
      </c>
      <c r="C31" s="48"/>
      <c r="D31" s="29">
        <v>520</v>
      </c>
      <c r="E31" s="20">
        <v>5.0000000000000001E-4</v>
      </c>
      <c r="F31" s="17">
        <f>(0.4*D31+19.7)*E31</f>
        <v>0.11384999999999999</v>
      </c>
      <c r="G31" s="74"/>
      <c r="H31" s="74"/>
      <c r="I31" s="75"/>
      <c r="J31" s="19"/>
      <c r="K31" s="77"/>
      <c r="L31" s="139"/>
      <c r="M31" s="134"/>
      <c r="N31" s="99"/>
      <c r="P31" s="100"/>
    </row>
    <row r="32" spans="1:16" ht="20" x14ac:dyDescent="0.2">
      <c r="A32" s="27"/>
      <c r="B32" s="121" t="s">
        <v>98</v>
      </c>
      <c r="C32" s="48"/>
      <c r="D32" s="29">
        <v>20</v>
      </c>
      <c r="E32" s="20">
        <v>7.0000000000000001E-3</v>
      </c>
      <c r="F32" s="19">
        <f>IF(D32&lt;=30,(0.57*D32+1.18)*E32,((0.57*30+1.18)+0.47*(D32-30))*E32)</f>
        <v>8.8059999999999986E-2</v>
      </c>
      <c r="G32" s="74"/>
      <c r="H32" s="74"/>
      <c r="I32" s="75"/>
      <c r="J32" s="19"/>
      <c r="K32" s="77"/>
      <c r="L32" s="139"/>
      <c r="M32" s="134"/>
      <c r="N32" s="99"/>
      <c r="P32" s="100"/>
    </row>
    <row r="33" spans="1:16" ht="20" x14ac:dyDescent="0.2">
      <c r="A33" s="27"/>
      <c r="B33" s="122" t="s">
        <v>103</v>
      </c>
      <c r="C33" s="53"/>
      <c r="D33" s="19"/>
      <c r="E33" s="20"/>
      <c r="F33" s="19"/>
      <c r="G33" s="19"/>
      <c r="H33" s="19"/>
      <c r="I33" s="29"/>
      <c r="J33" s="19"/>
      <c r="K33" s="77"/>
      <c r="L33" s="139"/>
      <c r="M33" s="134"/>
      <c r="N33" s="136">
        <f>M34+M38</f>
        <v>0</v>
      </c>
      <c r="P33" s="100"/>
    </row>
    <row r="34" spans="1:16" ht="20" x14ac:dyDescent="0.2">
      <c r="A34" s="27">
        <v>81020</v>
      </c>
      <c r="B34" s="121" t="s">
        <v>105</v>
      </c>
      <c r="C34" s="48"/>
      <c r="D34" s="19"/>
      <c r="E34" s="20"/>
      <c r="F34" s="19">
        <f>SUM(F35:F37)</f>
        <v>6.257657</v>
      </c>
      <c r="G34" s="74"/>
      <c r="H34" s="74"/>
      <c r="I34" s="75"/>
      <c r="J34" s="19" t="s">
        <v>95</v>
      </c>
      <c r="K34" s="77">
        <v>2259.92</v>
      </c>
      <c r="L34" s="139"/>
      <c r="M34" s="134">
        <f t="shared" ref="M34:M38" si="2">IF(ISBLANK(K34),0,ROUNDDOWN(I34*K34,2))</f>
        <v>0</v>
      </c>
      <c r="N34" s="99"/>
      <c r="P34" s="100"/>
    </row>
    <row r="35" spans="1:16" ht="20" x14ac:dyDescent="0.2">
      <c r="A35" s="27"/>
      <c r="B35" s="121" t="s">
        <v>104</v>
      </c>
      <c r="C35" s="48"/>
      <c r="D35" s="29">
        <v>520</v>
      </c>
      <c r="E35" s="20">
        <v>1.1299999999999999E-2</v>
      </c>
      <c r="F35" s="19">
        <f>IF(D35&lt;=30,(0.4*D35+3.35)*E35,((0.4*30+3.35)+0.33*(D35-30))*E35)</f>
        <v>2.0006650000000001</v>
      </c>
      <c r="G35" s="74"/>
      <c r="H35" s="74"/>
      <c r="I35" s="75"/>
      <c r="J35" s="19"/>
      <c r="K35" s="77"/>
      <c r="L35" s="139"/>
      <c r="M35" s="134"/>
      <c r="N35" s="99"/>
      <c r="P35" s="100"/>
    </row>
    <row r="36" spans="1:16" ht="20" x14ac:dyDescent="0.2">
      <c r="A36" s="27"/>
      <c r="B36" s="121" t="s">
        <v>96</v>
      </c>
      <c r="C36" s="48"/>
      <c r="D36" s="29">
        <v>160</v>
      </c>
      <c r="E36" s="20">
        <v>4.0300000000000002E-2</v>
      </c>
      <c r="F36" s="19">
        <f>IF(D36&lt;=30,(0.57*D36+1.18)*E36,((0.57*30+1.18)+0.47*(D36-30))*E36)</f>
        <v>3.199014</v>
      </c>
      <c r="G36" s="74"/>
      <c r="H36" s="74"/>
      <c r="I36" s="75"/>
      <c r="J36" s="19"/>
      <c r="K36" s="77"/>
      <c r="L36" s="139"/>
      <c r="M36" s="134"/>
      <c r="N36" s="99"/>
      <c r="P36" s="100"/>
    </row>
    <row r="37" spans="1:16" ht="20" x14ac:dyDescent="0.2">
      <c r="A37" s="27"/>
      <c r="B37" s="121" t="s">
        <v>98</v>
      </c>
      <c r="C37" s="48"/>
      <c r="D37" s="29">
        <v>20</v>
      </c>
      <c r="E37" s="20">
        <v>8.4099999999999994E-2</v>
      </c>
      <c r="F37" s="19">
        <f>IF(D37&lt;=30,(0.57*D37+1.18)*E37,((0.57*30+1.18)+0.47*(D37-30))*E37)</f>
        <v>1.0579779999999999</v>
      </c>
      <c r="G37" s="74"/>
      <c r="H37" s="74"/>
      <c r="I37" s="75"/>
      <c r="J37" s="19"/>
      <c r="K37" s="77"/>
      <c r="L37" s="139"/>
      <c r="M37" s="134"/>
      <c r="N37" s="99"/>
      <c r="P37" s="100"/>
    </row>
    <row r="38" spans="1:16" ht="20" x14ac:dyDescent="0.2">
      <c r="A38" s="27">
        <v>81070</v>
      </c>
      <c r="B38" s="121" t="s">
        <v>106</v>
      </c>
      <c r="C38" s="48"/>
      <c r="D38" s="19"/>
      <c r="E38" s="20"/>
      <c r="F38" s="19">
        <f>SUM(F39:F41)</f>
        <v>4.7316029999999998</v>
      </c>
      <c r="G38" s="74"/>
      <c r="H38" s="74"/>
      <c r="I38" s="75"/>
      <c r="J38" s="19" t="s">
        <v>95</v>
      </c>
      <c r="K38" s="77">
        <v>28</v>
      </c>
      <c r="L38" s="139"/>
      <c r="M38" s="134">
        <f t="shared" si="2"/>
        <v>0</v>
      </c>
      <c r="N38" s="99"/>
      <c r="P38" s="100"/>
    </row>
    <row r="39" spans="1:16" ht="20" x14ac:dyDescent="0.2">
      <c r="A39" s="27"/>
      <c r="B39" s="121" t="s">
        <v>104</v>
      </c>
      <c r="C39" s="48"/>
      <c r="D39" s="19">
        <v>520</v>
      </c>
      <c r="E39" s="20">
        <v>8.3000000000000001E-3</v>
      </c>
      <c r="F39" s="19">
        <f>IF(D39&lt;=30,(0.4*D39+3.35)*E39,((0.4*30+3.35)+0.33*(D39-30))*E39)</f>
        <v>1.4695150000000001</v>
      </c>
      <c r="G39" s="74"/>
      <c r="H39" s="74"/>
      <c r="I39" s="75"/>
      <c r="J39" s="19"/>
      <c r="K39" s="77"/>
      <c r="L39" s="139"/>
      <c r="M39" s="134"/>
      <c r="N39" s="99"/>
      <c r="P39" s="100"/>
    </row>
    <row r="40" spans="1:16" ht="20" x14ac:dyDescent="0.2">
      <c r="A40" s="27"/>
      <c r="B40" s="121" t="s">
        <v>96</v>
      </c>
      <c r="C40" s="48"/>
      <c r="D40" s="19">
        <v>160</v>
      </c>
      <c r="E40" s="20">
        <v>2.9700000000000001E-2</v>
      </c>
      <c r="F40" s="19">
        <f>IF(D40&lt;=30,(0.57*D40+1.18)*E40,((0.57*30+1.18)+0.47*(D40-30))*E40)</f>
        <v>2.357586</v>
      </c>
      <c r="G40" s="74"/>
      <c r="H40" s="74"/>
      <c r="I40" s="75"/>
      <c r="J40" s="19"/>
      <c r="K40" s="77"/>
      <c r="L40" s="139"/>
      <c r="M40" s="134"/>
      <c r="N40" s="99"/>
      <c r="P40" s="100"/>
    </row>
    <row r="41" spans="1:16" ht="20" x14ac:dyDescent="0.2">
      <c r="A41" s="27"/>
      <c r="B41" s="121" t="s">
        <v>98</v>
      </c>
      <c r="C41" s="48"/>
      <c r="D41" s="19">
        <v>20</v>
      </c>
      <c r="E41" s="20">
        <v>7.1900000000000006E-2</v>
      </c>
      <c r="F41" s="19">
        <f>IF(D41&lt;=30,(0.57*D41+1.18)*E41,((0.57*30+1.18)+0.47*(D41-30))*E41)</f>
        <v>0.90450199999999992</v>
      </c>
      <c r="G41" s="74"/>
      <c r="H41" s="74"/>
      <c r="I41" s="75"/>
      <c r="J41" s="19"/>
      <c r="K41" s="77"/>
      <c r="L41" s="139"/>
      <c r="M41" s="134"/>
      <c r="N41" s="99"/>
      <c r="P41" s="100"/>
    </row>
    <row r="42" spans="1:16" ht="20" x14ac:dyDescent="0.2">
      <c r="A42" s="27">
        <v>90000</v>
      </c>
      <c r="B42" s="122" t="s">
        <v>107</v>
      </c>
      <c r="C42" s="53"/>
      <c r="D42" s="19"/>
      <c r="E42" s="20"/>
      <c r="F42" s="19"/>
      <c r="G42" s="19"/>
      <c r="H42" s="19"/>
      <c r="I42" s="29"/>
      <c r="J42" s="19"/>
      <c r="K42" s="77"/>
      <c r="L42" s="139"/>
      <c r="M42" s="134"/>
      <c r="N42" s="136">
        <f>M43+M44+M45+M46</f>
        <v>0</v>
      </c>
      <c r="P42" s="100"/>
    </row>
    <row r="43" spans="1:16" ht="20" x14ac:dyDescent="0.2">
      <c r="A43" s="27" t="s">
        <v>108</v>
      </c>
      <c r="B43" s="121" t="s">
        <v>109</v>
      </c>
      <c r="C43" s="48"/>
      <c r="D43" s="19"/>
      <c r="E43" s="20"/>
      <c r="F43" s="19"/>
      <c r="G43" s="19"/>
      <c r="H43" s="19"/>
      <c r="I43" s="29"/>
      <c r="J43" s="19" t="s">
        <v>76</v>
      </c>
      <c r="K43" s="77">
        <v>2645.11</v>
      </c>
      <c r="L43" s="139"/>
      <c r="M43" s="134">
        <f>IF(ISBLANK(K43),0,ROUNDDOWN(I43*K43,2))</f>
        <v>0</v>
      </c>
      <c r="N43" s="99"/>
      <c r="P43" s="100"/>
    </row>
    <row r="44" spans="1:16" ht="20" x14ac:dyDescent="0.2">
      <c r="A44" s="27" t="s">
        <v>110</v>
      </c>
      <c r="B44" s="121" t="s">
        <v>111</v>
      </c>
      <c r="C44" s="48"/>
      <c r="D44" s="19"/>
      <c r="E44" s="20"/>
      <c r="F44" s="19">
        <v>0</v>
      </c>
      <c r="G44" s="19"/>
      <c r="H44" s="19"/>
      <c r="I44" s="29"/>
      <c r="J44" s="19" t="s">
        <v>77</v>
      </c>
      <c r="K44" s="77">
        <v>129</v>
      </c>
      <c r="L44" s="139"/>
      <c r="M44" s="134">
        <f t="shared" ref="M44:M58" si="3">IF(ISBLANK(K44),0,ROUNDDOWN(I44*K44,2))</f>
        <v>0</v>
      </c>
      <c r="N44" s="99"/>
      <c r="P44" s="100"/>
    </row>
    <row r="45" spans="1:16" ht="20" x14ac:dyDescent="0.2">
      <c r="A45" s="27">
        <v>80000</v>
      </c>
      <c r="B45" s="121" t="s">
        <v>112</v>
      </c>
      <c r="C45" s="48"/>
      <c r="D45" s="19"/>
      <c r="E45" s="20"/>
      <c r="F45" s="19">
        <v>0</v>
      </c>
      <c r="G45" s="19"/>
      <c r="H45" s="19"/>
      <c r="I45" s="29"/>
      <c r="J45" s="19" t="s">
        <v>76</v>
      </c>
      <c r="K45" s="77">
        <v>2043.38</v>
      </c>
      <c r="L45" s="139"/>
      <c r="M45" s="134">
        <f>IF(ISBLANK(K45),0,ROUNDDOWN(I45*K45,2))</f>
        <v>0</v>
      </c>
      <c r="N45" s="99"/>
      <c r="P45" s="100"/>
    </row>
    <row r="46" spans="1:16" ht="20" x14ac:dyDescent="0.2">
      <c r="A46" s="27"/>
      <c r="B46" s="121" t="s">
        <v>132</v>
      </c>
      <c r="C46" s="48"/>
      <c r="D46" s="19"/>
      <c r="E46" s="20"/>
      <c r="F46" s="19">
        <v>0</v>
      </c>
      <c r="G46" s="19"/>
      <c r="H46" s="19"/>
      <c r="I46" s="29"/>
      <c r="J46" s="19" t="s">
        <v>77</v>
      </c>
      <c r="K46" s="77">
        <v>56</v>
      </c>
      <c r="L46" s="139"/>
      <c r="M46" s="134">
        <f>IF(ISBLANK(K46),0,ROUNDDOWN(I46*K46,2))</f>
        <v>0</v>
      </c>
      <c r="N46" s="99"/>
      <c r="P46" s="100"/>
    </row>
    <row r="47" spans="1:16" ht="20" x14ac:dyDescent="0.2">
      <c r="A47" s="27"/>
      <c r="B47" s="122" t="s">
        <v>113</v>
      </c>
      <c r="C47" s="48"/>
      <c r="D47" s="19"/>
      <c r="E47" s="20"/>
      <c r="F47" s="19"/>
      <c r="G47" s="19"/>
      <c r="H47" s="19"/>
      <c r="I47" s="29"/>
      <c r="J47" s="19"/>
      <c r="K47" s="77"/>
      <c r="L47" s="139"/>
      <c r="M47" s="134"/>
      <c r="N47" s="136">
        <f>M48+M49</f>
        <v>0</v>
      </c>
      <c r="P47" s="100"/>
    </row>
    <row r="48" spans="1:16" ht="20" x14ac:dyDescent="0.2">
      <c r="A48" s="27" t="s">
        <v>114</v>
      </c>
      <c r="B48" s="121" t="s">
        <v>127</v>
      </c>
      <c r="C48" s="48"/>
      <c r="D48" s="19"/>
      <c r="E48" s="20"/>
      <c r="F48" s="19"/>
      <c r="G48" s="19"/>
      <c r="H48" s="19"/>
      <c r="I48" s="29"/>
      <c r="J48" s="19" t="s">
        <v>77</v>
      </c>
      <c r="K48" s="77">
        <v>1</v>
      </c>
      <c r="L48" s="139"/>
      <c r="M48" s="134">
        <f t="shared" si="3"/>
        <v>0</v>
      </c>
      <c r="N48" s="99"/>
      <c r="P48" s="100"/>
    </row>
    <row r="49" spans="1:16" ht="20" x14ac:dyDescent="0.2">
      <c r="A49" s="27" t="s">
        <v>115</v>
      </c>
      <c r="B49" s="121" t="s">
        <v>116</v>
      </c>
      <c r="C49" s="48"/>
      <c r="D49" s="19"/>
      <c r="E49" s="20"/>
      <c r="F49" s="19"/>
      <c r="G49" s="74"/>
      <c r="H49" s="74"/>
      <c r="I49" s="75"/>
      <c r="J49" s="19" t="s">
        <v>77</v>
      </c>
      <c r="K49" s="77">
        <v>1</v>
      </c>
      <c r="L49" s="139"/>
      <c r="M49" s="134">
        <f t="shared" si="3"/>
        <v>0</v>
      </c>
      <c r="N49" s="99"/>
      <c r="P49" s="100"/>
    </row>
    <row r="50" spans="1:16" ht="20" x14ac:dyDescent="0.2">
      <c r="A50" s="27"/>
      <c r="B50" s="122" t="s">
        <v>117</v>
      </c>
      <c r="C50" s="48"/>
      <c r="D50" s="19"/>
      <c r="E50" s="20"/>
      <c r="F50" s="19"/>
      <c r="G50" s="19"/>
      <c r="H50" s="19"/>
      <c r="I50" s="75"/>
      <c r="J50" s="19"/>
      <c r="K50" s="77"/>
      <c r="L50" s="139"/>
      <c r="M50" s="134"/>
      <c r="N50" s="137">
        <f>M51+M52+M53+M54+M55+M56+M57+M58</f>
        <v>0</v>
      </c>
      <c r="P50" s="100"/>
    </row>
    <row r="51" spans="1:16" ht="40" x14ac:dyDescent="0.2">
      <c r="A51" s="27"/>
      <c r="B51" s="123" t="s">
        <v>128</v>
      </c>
      <c r="C51" s="48"/>
      <c r="D51" s="19"/>
      <c r="E51" s="20"/>
      <c r="F51" s="19"/>
      <c r="G51" s="83"/>
      <c r="H51" s="83"/>
      <c r="I51" s="130"/>
      <c r="J51" s="19" t="s">
        <v>77</v>
      </c>
      <c r="K51" s="77">
        <v>11</v>
      </c>
      <c r="L51" s="139"/>
      <c r="M51" s="134">
        <f t="shared" si="3"/>
        <v>0</v>
      </c>
      <c r="N51" s="137"/>
      <c r="P51" s="100"/>
    </row>
    <row r="52" spans="1:16" ht="40" x14ac:dyDescent="0.2">
      <c r="A52" s="27"/>
      <c r="B52" s="123" t="s">
        <v>129</v>
      </c>
      <c r="C52" s="48"/>
      <c r="D52" s="19"/>
      <c r="E52" s="20"/>
      <c r="F52" s="19"/>
      <c r="G52" s="83"/>
      <c r="H52" s="83"/>
      <c r="I52" s="75"/>
      <c r="J52" s="19" t="s">
        <v>77</v>
      </c>
      <c r="K52" s="77">
        <v>11</v>
      </c>
      <c r="L52" s="139"/>
      <c r="M52" s="134">
        <f t="shared" si="3"/>
        <v>0</v>
      </c>
      <c r="N52" s="132"/>
      <c r="P52" s="100"/>
    </row>
    <row r="53" spans="1:16" ht="60" x14ac:dyDescent="0.2">
      <c r="A53" s="27"/>
      <c r="B53" s="124" t="s">
        <v>130</v>
      </c>
      <c r="C53" s="48"/>
      <c r="D53" s="19"/>
      <c r="E53" s="20"/>
      <c r="F53" s="19"/>
      <c r="G53" s="83"/>
      <c r="H53" s="83"/>
      <c r="I53" s="130"/>
      <c r="J53" s="19" t="s">
        <v>77</v>
      </c>
      <c r="K53" s="77">
        <v>11</v>
      </c>
      <c r="L53" s="139"/>
      <c r="M53" s="134">
        <f t="shared" si="3"/>
        <v>0</v>
      </c>
      <c r="N53" s="132"/>
      <c r="P53" s="100"/>
    </row>
    <row r="54" spans="1:16" ht="40" x14ac:dyDescent="0.2">
      <c r="A54" s="27"/>
      <c r="B54" s="124" t="s">
        <v>118</v>
      </c>
      <c r="C54" s="48"/>
      <c r="D54" s="19"/>
      <c r="E54" s="20"/>
      <c r="F54" s="19"/>
      <c r="G54" s="83"/>
      <c r="H54" s="83"/>
      <c r="I54" s="130"/>
      <c r="J54" s="19" t="s">
        <v>77</v>
      </c>
      <c r="K54" s="77">
        <v>11</v>
      </c>
      <c r="L54" s="139"/>
      <c r="M54" s="134">
        <f t="shared" si="3"/>
        <v>0</v>
      </c>
      <c r="N54" s="132"/>
      <c r="P54" s="100"/>
    </row>
    <row r="55" spans="1:16" ht="20" x14ac:dyDescent="0.2">
      <c r="A55" s="27"/>
      <c r="B55" s="123" t="s">
        <v>119</v>
      </c>
      <c r="C55" s="48"/>
      <c r="D55" s="19"/>
      <c r="E55" s="20"/>
      <c r="F55" s="19"/>
      <c r="G55" s="83"/>
      <c r="H55" s="83"/>
      <c r="I55" s="75"/>
      <c r="J55" s="19" t="s">
        <v>77</v>
      </c>
      <c r="K55" s="77">
        <v>11</v>
      </c>
      <c r="L55" s="139"/>
      <c r="M55" s="134">
        <f t="shared" si="3"/>
        <v>0</v>
      </c>
      <c r="N55" s="132"/>
      <c r="P55" s="100"/>
    </row>
    <row r="56" spans="1:16" ht="43" customHeight="1" x14ac:dyDescent="0.2">
      <c r="A56" s="27"/>
      <c r="B56" s="125" t="s">
        <v>120</v>
      </c>
      <c r="C56" s="48"/>
      <c r="D56" s="19"/>
      <c r="E56" s="20"/>
      <c r="F56" s="19"/>
      <c r="G56" s="83"/>
      <c r="H56" s="83"/>
      <c r="I56" s="75"/>
      <c r="J56" s="19" t="s">
        <v>77</v>
      </c>
      <c r="K56" s="77">
        <v>11</v>
      </c>
      <c r="L56" s="139"/>
      <c r="M56" s="134">
        <f t="shared" si="3"/>
        <v>0</v>
      </c>
      <c r="N56" s="132"/>
    </row>
    <row r="57" spans="1:16" ht="48" customHeight="1" x14ac:dyDescent="0.2">
      <c r="A57" s="27"/>
      <c r="B57" s="125" t="s">
        <v>121</v>
      </c>
      <c r="C57" s="53"/>
      <c r="D57" s="19"/>
      <c r="E57" s="20"/>
      <c r="F57" s="19"/>
      <c r="G57" s="83"/>
      <c r="H57" s="83"/>
      <c r="I57" s="75"/>
      <c r="J57" s="19" t="s">
        <v>77</v>
      </c>
      <c r="K57" s="77">
        <v>11</v>
      </c>
      <c r="L57" s="139"/>
      <c r="M57" s="134">
        <f t="shared" si="3"/>
        <v>0</v>
      </c>
      <c r="N57" s="132"/>
    </row>
    <row r="58" spans="1:16" ht="40" x14ac:dyDescent="0.2">
      <c r="A58" s="28"/>
      <c r="B58" s="124" t="s">
        <v>131</v>
      </c>
      <c r="C58" s="119"/>
      <c r="D58" s="83"/>
      <c r="E58" s="128">
        <v>5</v>
      </c>
      <c r="F58" s="83">
        <f>IF(D58&lt;=30,(0.6*D58+1.25)*E58,((0.6*30+1.25)+0.5*(D58-30))*E58)</f>
        <v>6.25</v>
      </c>
      <c r="G58" s="83"/>
      <c r="H58" s="83"/>
      <c r="I58" s="130"/>
      <c r="J58" s="19" t="s">
        <v>77</v>
      </c>
      <c r="K58" s="77">
        <v>1</v>
      </c>
      <c r="L58" s="139"/>
      <c r="M58" s="134">
        <f t="shared" si="3"/>
        <v>0</v>
      </c>
      <c r="N58" s="132"/>
    </row>
    <row r="59" spans="1:16" ht="21" thickBot="1" x14ac:dyDescent="0.25">
      <c r="A59" s="28"/>
      <c r="B59" s="122"/>
      <c r="C59" s="141"/>
      <c r="D59" s="19"/>
      <c r="E59" s="20"/>
      <c r="F59" s="19"/>
      <c r="G59" s="19"/>
      <c r="H59" s="19"/>
      <c r="I59" s="29"/>
      <c r="J59" s="19"/>
      <c r="K59" s="77"/>
      <c r="L59" s="139"/>
      <c r="M59" s="140"/>
      <c r="N59" s="131"/>
    </row>
    <row r="60" spans="1:16" ht="21" thickBot="1" x14ac:dyDescent="0.25">
      <c r="A60" s="28"/>
      <c r="B60" s="81" t="s">
        <v>122</v>
      </c>
      <c r="C60" s="54"/>
      <c r="D60" s="102"/>
      <c r="E60" s="103"/>
      <c r="F60" s="104"/>
      <c r="G60" s="104"/>
      <c r="H60" s="104" t="str">
        <f>IF(ISBLANK(G60),"",SUM(F60:G60))</f>
        <v/>
      </c>
      <c r="I60" s="56"/>
      <c r="J60" s="104"/>
      <c r="K60" s="105"/>
      <c r="L60" s="101"/>
      <c r="M60" s="98">
        <f>M15+M16+M17+M19+M21+M25+M27+M30+M34+M38</f>
        <v>0</v>
      </c>
      <c r="N60" s="98">
        <f>N33+N26+N24+N20+N18+N14</f>
        <v>0</v>
      </c>
      <c r="P60" s="100"/>
    </row>
    <row r="61" spans="1:16" ht="21" thickBot="1" x14ac:dyDescent="0.25">
      <c r="A61" s="28"/>
      <c r="B61" s="81" t="s">
        <v>123</v>
      </c>
      <c r="C61" s="54"/>
      <c r="D61" s="102"/>
      <c r="E61" s="103"/>
      <c r="F61" s="104"/>
      <c r="G61" s="104"/>
      <c r="H61" s="104" t="str">
        <f>IF(ISBLANK(G61),"",SUM(F61:G61))</f>
        <v/>
      </c>
      <c r="I61" s="56"/>
      <c r="J61" s="104"/>
      <c r="K61" s="105"/>
      <c r="L61" s="101"/>
      <c r="M61" s="98">
        <f>M43+M44+M45+M46</f>
        <v>0</v>
      </c>
      <c r="N61" s="98">
        <f>N42</f>
        <v>0</v>
      </c>
      <c r="P61" s="100"/>
    </row>
    <row r="62" spans="1:16" ht="21" thickBot="1" x14ac:dyDescent="0.25">
      <c r="A62" s="26"/>
      <c r="B62" s="81" t="s">
        <v>124</v>
      </c>
      <c r="C62" s="12"/>
      <c r="D62" s="102"/>
      <c r="E62" s="103"/>
      <c r="F62" s="104"/>
      <c r="G62" s="104"/>
      <c r="H62" s="104" t="str">
        <f>IF(ISBLANK(G62),"",SUM(F62:G62))</f>
        <v/>
      </c>
      <c r="I62" s="56"/>
      <c r="J62" s="104"/>
      <c r="K62" s="105"/>
      <c r="L62" s="101"/>
      <c r="M62" s="98" t="e">
        <f>#REF!+#REF!+#REF!+#REF!+#REF!+#REF!+#REF!+#REF!+#REF!+#REF!+#REF!</f>
        <v>#REF!</v>
      </c>
      <c r="N62" s="98" t="e">
        <f>M62</f>
        <v>#REF!</v>
      </c>
      <c r="P62" s="100"/>
    </row>
    <row r="63" spans="1:16" ht="21" thickBot="1" x14ac:dyDescent="0.25">
      <c r="A63" s="26"/>
      <c r="B63" s="81" t="s">
        <v>125</v>
      </c>
      <c r="C63" s="12"/>
      <c r="D63" s="102"/>
      <c r="E63" s="103"/>
      <c r="F63" s="104"/>
      <c r="G63" s="104"/>
      <c r="H63" s="104"/>
      <c r="I63" s="56"/>
      <c r="J63" s="104"/>
      <c r="K63" s="105"/>
      <c r="L63" s="101"/>
      <c r="M63" s="98" t="e">
        <f>#REF!+#REF!+#REF!+#REF!+#REF!+#REF!+#REF!+#REF!+#REF!+#REF!+#REF!</f>
        <v>#REF!</v>
      </c>
      <c r="N63" s="98">
        <f>N50</f>
        <v>0</v>
      </c>
      <c r="P63" s="100"/>
    </row>
    <row r="64" spans="1:16" ht="21" thickBot="1" x14ac:dyDescent="0.25">
      <c r="B64" s="81" t="s">
        <v>113</v>
      </c>
      <c r="D64" s="102"/>
      <c r="E64" s="103"/>
      <c r="F64" s="104"/>
      <c r="G64" s="104"/>
      <c r="H64" s="104"/>
      <c r="I64" s="56"/>
      <c r="J64" s="104"/>
      <c r="K64" s="105"/>
      <c r="L64" s="101"/>
      <c r="M64" s="98">
        <f>M48+M49</f>
        <v>0</v>
      </c>
      <c r="N64" s="98">
        <f>N47</f>
        <v>0</v>
      </c>
      <c r="P64" s="100"/>
    </row>
    <row r="65" spans="2:16" ht="21" thickBot="1" x14ac:dyDescent="0.25">
      <c r="B65" s="81" t="s">
        <v>126</v>
      </c>
      <c r="D65" s="102"/>
      <c r="E65" s="103"/>
      <c r="F65" s="104"/>
      <c r="G65" s="104"/>
      <c r="H65" s="104" t="str">
        <f>IF(ISBLANK(G65),"",SUM(F65:G65))</f>
        <v/>
      </c>
      <c r="I65" s="56"/>
      <c r="J65" s="104"/>
      <c r="K65" s="105"/>
      <c r="L65" s="101"/>
      <c r="M65" s="98" t="e">
        <f>M60+M61+M62+M63+M64</f>
        <v>#REF!</v>
      </c>
      <c r="N65" s="98" t="e">
        <f>N60+N61+N62+N63+N64</f>
        <v>#REF!</v>
      </c>
      <c r="P65" s="100"/>
    </row>
    <row r="66" spans="2:16" ht="18" x14ac:dyDescent="0.2">
      <c r="B66" s="12"/>
      <c r="D66" s="13"/>
      <c r="E66" s="14"/>
      <c r="F66" s="23"/>
      <c r="G66" s="14"/>
      <c r="H66" s="14"/>
      <c r="I66" s="15"/>
      <c r="J66" s="14"/>
    </row>
    <row r="67" spans="2:16" ht="20" x14ac:dyDescent="0.2">
      <c r="B67" s="12"/>
      <c r="D67" s="13"/>
      <c r="E67" s="16"/>
      <c r="F67" s="13"/>
      <c r="G67" s="14"/>
      <c r="H67" s="14"/>
      <c r="I67" s="15"/>
      <c r="J67" s="14"/>
      <c r="M67" s="100"/>
      <c r="N67" s="78"/>
      <c r="P67" s="100"/>
    </row>
  </sheetData>
  <phoneticPr fontId="1" type="noConversion"/>
  <pageMargins left="0.51" right="0.51" top="0.79000000000000015" bottom="0.79000000000000015" header="0.31" footer="0.31"/>
  <pageSetup paperSize="9" scale="39" orientation="portrait" r:id="rId1"/>
  <rowBreaks count="1" manualBreakCount="1">
    <brk id="65" max="16383" man="1"/>
  </rowBreaks>
  <colBreaks count="1" manualBreakCount="1">
    <brk id="14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custo</vt:lpstr>
      <vt:lpstr>resumo geral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Silvio</dc:creator>
  <cp:keywords/>
  <dc:description/>
  <cp:lastModifiedBy>Usuário do Microsoft Office</cp:lastModifiedBy>
  <cp:revision/>
  <cp:lastPrinted>2018-03-05T13:01:14Z</cp:lastPrinted>
  <dcterms:created xsi:type="dcterms:W3CDTF">1998-02-17T17:03:09Z</dcterms:created>
  <dcterms:modified xsi:type="dcterms:W3CDTF">2018-03-05T13:02:23Z</dcterms:modified>
  <cp:category/>
  <cp:contentStatus/>
</cp:coreProperties>
</file>